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972" activeTab="0"/>
  </bookViews>
  <sheets>
    <sheet name="Bežné príjmy" sheetId="1" r:id="rId1"/>
    <sheet name="Kapitálové príjmy" sheetId="2" r:id="rId2"/>
    <sheet name="Výdavky Program 1" sheetId="3" r:id="rId3"/>
    <sheet name="Výdavky Program 2" sheetId="4" r:id="rId4"/>
    <sheet name="Výdavky Program 3" sheetId="5" r:id="rId5"/>
    <sheet name="Výdavky Program 4" sheetId="6" r:id="rId6"/>
    <sheet name="Výdavky Program 5" sheetId="7" r:id="rId7"/>
    <sheet name="Výdavky Program 6" sheetId="8" r:id="rId8"/>
    <sheet name="Výdavky Program 7" sheetId="9" r:id="rId9"/>
    <sheet name="Výdavky Program 8" sheetId="10" r:id="rId10"/>
    <sheet name="Výdavky Prog.8-dotácie" sheetId="11" r:id="rId11"/>
    <sheet name="Výdavky Program 9" sheetId="12" r:id="rId12"/>
    <sheet name="Výdavky Program 10" sheetId="13" r:id="rId13"/>
    <sheet name="Výdavky Program 11" sheetId="14" r:id="rId14"/>
    <sheet name="SUMARIZÁCIA" sheetId="15" r:id="rId15"/>
  </sheets>
  <definedNames/>
  <calcPr fullCalcOnLoad="1"/>
</workbook>
</file>

<file path=xl/sharedStrings.xml><?xml version="1.0" encoding="utf-8"?>
<sst xmlns="http://schemas.openxmlformats.org/spreadsheetml/2006/main" count="1847" uniqueCount="783">
  <si>
    <t>Ochrana prírody a krajiny</t>
  </si>
  <si>
    <t>Finančná a rozpočtová oblasť</t>
  </si>
  <si>
    <t>Transakcie verejného dlhu</t>
  </si>
  <si>
    <t>Nakladanie s odpadmi</t>
  </si>
  <si>
    <t>Výsledok hospodárenia</t>
  </si>
  <si>
    <t>ukazovateľ</t>
  </si>
  <si>
    <t>2</t>
  </si>
  <si>
    <t>4</t>
  </si>
  <si>
    <t>5</t>
  </si>
  <si>
    <t>Kapitálové výdavky</t>
  </si>
  <si>
    <t>Bežné výdavky</t>
  </si>
  <si>
    <t>Bežné príjmy</t>
  </si>
  <si>
    <t>Rozpočet</t>
  </si>
  <si>
    <t>kategória</t>
  </si>
  <si>
    <t>položka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</si>
  <si>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</si>
  <si>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</si>
  <si>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</si>
  <si>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</si>
  <si>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</si>
  <si>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</si>
  <si>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</si>
  <si>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</si>
  <si>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</si>
  <si>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001</t>
  </si>
  <si>
    <t>002</t>
  </si>
  <si>
    <t>130</t>
  </si>
  <si>
    <t>Domáce dane na tovary a služby</t>
  </si>
  <si>
    <t>012</t>
  </si>
  <si>
    <t>013</t>
  </si>
  <si>
    <t>200</t>
  </si>
  <si>
    <t>NEDAŇOVÉ  PRÍJMY</t>
  </si>
  <si>
    <t>210</t>
  </si>
  <si>
    <t>Príjmy z podnikania a z vlastníctva majetku</t>
  </si>
  <si>
    <t>212</t>
  </si>
  <si>
    <t>220</t>
  </si>
  <si>
    <t>Administratívne a iné poplatky a platby</t>
  </si>
  <si>
    <t>221</t>
  </si>
  <si>
    <t>004</t>
  </si>
  <si>
    <t>223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</si>
  <si>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</si>
  <si>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</si>
  <si>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</si>
  <si>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</si>
  <si>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</si>
  <si>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</si>
  <si>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</si>
  <si>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Opatrovateľská služba</t>
  </si>
  <si>
    <t>Elektrická energia</t>
  </si>
  <si>
    <t xml:space="preserve">Rozvoj obcí </t>
  </si>
  <si>
    <t>300</t>
  </si>
  <si>
    <t>GRANTY  A  TRANSFERY</t>
  </si>
  <si>
    <t>310</t>
  </si>
  <si>
    <t>Transfery v rámci verejnej správy</t>
  </si>
  <si>
    <t>Zo štátneho rozpočtu</t>
  </si>
  <si>
    <t>BEŽNÉ PRÍJMY SPOLU:</t>
  </si>
  <si>
    <t>Kapitálové príjmy</t>
  </si>
  <si>
    <t>230</t>
  </si>
  <si>
    <t>233</t>
  </si>
  <si>
    <t>KAPITÁLOVÉ PRÍJMY SPOLU:</t>
  </si>
  <si>
    <t>PRÍJMY</t>
  </si>
  <si>
    <t>PRÍJMY SPOLU:</t>
  </si>
  <si>
    <t>Bežné výdavky spolu:</t>
  </si>
  <si>
    <t>Kapitálové príjmy spolu:</t>
  </si>
  <si>
    <t xml:space="preserve">Kapitálové výdavky spolu: </t>
  </si>
  <si>
    <t xml:space="preserve">   z toho:</t>
  </si>
  <si>
    <t>Autodoprava</t>
  </si>
  <si>
    <t>Ochrana pred požiarmi</t>
  </si>
  <si>
    <t>7</t>
  </si>
  <si>
    <t>Verejné osvetlenie</t>
  </si>
  <si>
    <t>Dávky sociálnej pomoci - pomoc občanom</t>
  </si>
  <si>
    <t>Cintorínske a pohrebné služby</t>
  </si>
  <si>
    <t>Miestny rozhlas</t>
  </si>
  <si>
    <t>Nakladanie s odpadovými vodami</t>
  </si>
  <si>
    <t>Prevádzka a údržba budov</t>
  </si>
  <si>
    <t xml:space="preserve">Cestná doprava </t>
  </si>
  <si>
    <t>Náboženské a iné spoločenské služby</t>
  </si>
  <si>
    <t>Výkon funkcie starostu</t>
  </si>
  <si>
    <t>Audit</t>
  </si>
  <si>
    <t>01.1.2</t>
  </si>
  <si>
    <t>Zasadnutia orgánov obce</t>
  </si>
  <si>
    <t>Majetok obce</t>
  </si>
  <si>
    <t>Vzdelávanie zamestnancov obce</t>
  </si>
  <si>
    <t>Obecný informačný systém</t>
  </si>
  <si>
    <t>PHM</t>
  </si>
  <si>
    <t>Materská škola</t>
  </si>
  <si>
    <t>Základná škola</t>
  </si>
  <si>
    <t>Základná škola a školské zariadenia</t>
  </si>
  <si>
    <t>všeobecné služby</t>
  </si>
  <si>
    <t>Podpora kultúrnych a športových podujatí</t>
  </si>
  <si>
    <t xml:space="preserve"> Ochrana životného prostredia</t>
  </si>
  <si>
    <t>Územné rozhodovanie a stavebný poriadok</t>
  </si>
  <si>
    <t>údržba strojov a zariadenia</t>
  </si>
  <si>
    <t>stravovanie dôchodcov</t>
  </si>
  <si>
    <t>posedenie dôchodcov</t>
  </si>
  <si>
    <t>Administratíva - správa obce</t>
  </si>
  <si>
    <t>291</t>
  </si>
  <si>
    <t xml:space="preserve"> - administratívne poplatky</t>
  </si>
  <si>
    <t xml:space="preserve"> </t>
  </si>
  <si>
    <t>predaj pozemkov</t>
  </si>
  <si>
    <t>Cestovné náhrady - tuzemské</t>
  </si>
  <si>
    <t>PROGRAM 3:     Služby občanom</t>
  </si>
  <si>
    <t>PROGRAM 2:     Interné služby obce</t>
  </si>
  <si>
    <t>elektrická energia ČOV</t>
  </si>
  <si>
    <t>Vývoz septikov</t>
  </si>
  <si>
    <t>PROGRAM 6:     Pozemné komunikácie</t>
  </si>
  <si>
    <t>PROGRAM 7:     Vzdelávanie</t>
  </si>
  <si>
    <t>Predškolské vzdelávanie</t>
  </si>
  <si>
    <t>poistné zo mzdy</t>
  </si>
  <si>
    <t>PHM kosenie ihriska</t>
  </si>
  <si>
    <t>Kultúrna činnosť</t>
  </si>
  <si>
    <t>PROGRAM 9:     Prostredie pre život</t>
  </si>
  <si>
    <t>Deratizácia obce</t>
  </si>
  <si>
    <t>Stavebný úrad</t>
  </si>
  <si>
    <t>poistenie verejného priestranstva</t>
  </si>
  <si>
    <t>PROGRAM 10:     Sociálne služby</t>
  </si>
  <si>
    <t>Starostlivosť o dôchodcov</t>
  </si>
  <si>
    <t>geometrický plán</t>
  </si>
  <si>
    <t>posudky, expertízy</t>
  </si>
  <si>
    <t>platba dane</t>
  </si>
  <si>
    <t>PROGRAM 11:     Administratíva</t>
  </si>
  <si>
    <t>Poistenie družstva</t>
  </si>
  <si>
    <t>Vzdelávanie zamestnancov OcÚ</t>
  </si>
  <si>
    <t>Karty, diaľničná známka</t>
  </si>
  <si>
    <t>Zber, odvoz a zneškodnenie odpadu</t>
  </si>
  <si>
    <t>PROGRAM 5:   Odpadové hospodárstvo</t>
  </si>
  <si>
    <t>Voda</t>
  </si>
  <si>
    <t>Školský klub detí /ŠKD/</t>
  </si>
  <si>
    <t>Školská jedáleň /ŠJ/</t>
  </si>
  <si>
    <t>PRÍJEM</t>
  </si>
  <si>
    <t>134</t>
  </si>
  <si>
    <t>Rozvoj obce</t>
  </si>
  <si>
    <t>0.1.3.3</t>
  </si>
  <si>
    <t>Výnos dane z príjmov poukáz. územnej samospráve</t>
  </si>
  <si>
    <t xml:space="preserve">  - daň za užívanie verejného priestranstva</t>
  </si>
  <si>
    <t xml:space="preserve">  - z úhrad za dobývací priestor</t>
  </si>
  <si>
    <t>Daň z nehnuteľností</t>
  </si>
  <si>
    <t>Príjmy z vlastníctva</t>
  </si>
  <si>
    <t xml:space="preserve"> - z prenájmu riadu,kontajnerov,nádob na odpad</t>
  </si>
  <si>
    <t xml:space="preserve">  - administratívne poplatky - ostatné</t>
  </si>
  <si>
    <t>Materiál a údržba</t>
  </si>
  <si>
    <t>04.4.3</t>
  </si>
  <si>
    <t>06.4.0</t>
  </si>
  <si>
    <t>05.4.0</t>
  </si>
  <si>
    <t>06.2.0</t>
  </si>
  <si>
    <t>211</t>
  </si>
  <si>
    <t>Program 6:Pozemné komunikácie</t>
  </si>
  <si>
    <t>Program 2:Interné služby obce</t>
  </si>
  <si>
    <t>Program 3:Služby občanom</t>
  </si>
  <si>
    <t>Program 4:Bezpečnosť, právo a poriadok</t>
  </si>
  <si>
    <t>Program 5:Odpadové hospodárstvo</t>
  </si>
  <si>
    <t>Program 7:Vzdelávanie</t>
  </si>
  <si>
    <t>Program 8:Kultúra a šport</t>
  </si>
  <si>
    <t>Program 9:Prostredie pre život</t>
  </si>
  <si>
    <t>Program 10:Sociálne služby</t>
  </si>
  <si>
    <t>Program 11:Administratíva</t>
  </si>
  <si>
    <t>poistenie budova ČOV a technológia</t>
  </si>
  <si>
    <t>projektové práce</t>
  </si>
  <si>
    <t xml:space="preserve"> - prenájom pošta</t>
  </si>
  <si>
    <t xml:space="preserve">  -z prenajatých budov, priestorov a objektov</t>
  </si>
  <si>
    <t>Vysielacie služby</t>
  </si>
  <si>
    <t>Rekreačné a športové služby</t>
  </si>
  <si>
    <t>Bývanie a občianska vybavenosť</t>
  </si>
  <si>
    <t>06.1.0</t>
  </si>
  <si>
    <t>Centrum voľného času, Malacky</t>
  </si>
  <si>
    <t>CVČ Malacky</t>
  </si>
  <si>
    <t>PHM - zimná údržba ciest</t>
  </si>
  <si>
    <t>Zimná údržba ciest (posyp.soľ)</t>
  </si>
  <si>
    <t>222</t>
  </si>
  <si>
    <t>telef.popl., poštovné (obec+ŠR)</t>
  </si>
  <si>
    <t>nádoby na odpad-kontajnery,koše</t>
  </si>
  <si>
    <t>splátky úveru ŠFRB</t>
  </si>
  <si>
    <t>133</t>
  </si>
  <si>
    <t>Rozvoj bývania - BYTOVÝ DOM</t>
  </si>
  <si>
    <t>Matrika-mzdy,odvody,prevádz.náklady</t>
  </si>
  <si>
    <t>REGOB-prevádzk.náklady</t>
  </si>
  <si>
    <t xml:space="preserve"> - prenájom hrobových miest na 10 rokov</t>
  </si>
  <si>
    <t>normatív</t>
  </si>
  <si>
    <t xml:space="preserve">  - Príspevky na energie</t>
  </si>
  <si>
    <t>GRANTY A DOTÁCIE</t>
  </si>
  <si>
    <t>por.číslo</t>
  </si>
  <si>
    <t>podpoložka</t>
  </si>
  <si>
    <t>Havarijné stavy škôl</t>
  </si>
  <si>
    <t>Poplatky STK, EK</t>
  </si>
  <si>
    <t>Údržba výpočtovej techniky</t>
  </si>
  <si>
    <t>01.1.1</t>
  </si>
  <si>
    <t>06.2</t>
  </si>
  <si>
    <t>0.1.1.1</t>
  </si>
  <si>
    <t>08.4</t>
  </si>
  <si>
    <t>0.8.3</t>
  </si>
  <si>
    <t>03.2</t>
  </si>
  <si>
    <t>05.1</t>
  </si>
  <si>
    <t>05.2</t>
  </si>
  <si>
    <t>04.5.1</t>
  </si>
  <si>
    <t>09.1.1</t>
  </si>
  <si>
    <t>09.5.0</t>
  </si>
  <si>
    <t>09.6.0.2</t>
  </si>
  <si>
    <t>08.1.0</t>
  </si>
  <si>
    <t>08.2.0</t>
  </si>
  <si>
    <t>10.7.0</t>
  </si>
  <si>
    <t>10.2.0</t>
  </si>
  <si>
    <t>10.9.0</t>
  </si>
  <si>
    <t>01.7.0</t>
  </si>
  <si>
    <t>Odmeny pre poslancov+odvody</t>
  </si>
  <si>
    <t>Verejné osvetlenie (VO)</t>
  </si>
  <si>
    <t>všeobecný materiál do dielne</t>
  </si>
  <si>
    <t>pracovné pomôcky,pracovný odev</t>
  </si>
  <si>
    <t>v EUR</t>
  </si>
  <si>
    <t>HV spol. Lábinvest+prerozdel.finanč.zostatku</t>
  </si>
  <si>
    <t xml:space="preserve">poistné,príspevky do poisťovní </t>
  </si>
  <si>
    <t>Kapitálové príjmy - dotácie</t>
  </si>
  <si>
    <t>Poistenie zákonné - CAS 32 T815</t>
  </si>
  <si>
    <t xml:space="preserve"> + Prebytok/ - Schodok rozpočtu</t>
  </si>
  <si>
    <t xml:space="preserve">Skutočnosť </t>
  </si>
  <si>
    <t xml:space="preserve">Schválený </t>
  </si>
  <si>
    <t>rozpočet</t>
  </si>
  <si>
    <t>Očakávaná</t>
  </si>
  <si>
    <t>skutočnosť</t>
  </si>
  <si>
    <t>630</t>
  </si>
  <si>
    <t>640</t>
  </si>
  <si>
    <t>1:  PLÁNOVANIE, MANAŽMENT A KONTROLA</t>
  </si>
  <si>
    <t>2:  INTERNÉ  SLUŽBY  OBCE</t>
  </si>
  <si>
    <t>700</t>
  </si>
  <si>
    <t>3:  SLUŽBY  OBČANOM</t>
  </si>
  <si>
    <t>Prevádzkové náklady</t>
  </si>
  <si>
    <t>4:  BEZPEČNOSŤ  A  PORIADOK</t>
  </si>
  <si>
    <t>PROGRAM 4: Bezpečnosť a poriadok</t>
  </si>
  <si>
    <t>Energie nedoplatky</t>
  </si>
  <si>
    <t>OLO-nedoplatky z predch.rokov</t>
  </si>
  <si>
    <t>5:  ODPADOVÉ  HOSPODÁRSTVO</t>
  </si>
  <si>
    <t>6: POZEMNÉ  KOMUNIKÁCIE</t>
  </si>
  <si>
    <t>Správa a údržba pozem. komunikácií</t>
  </si>
  <si>
    <t>7:  VZDELÁVANIE</t>
  </si>
  <si>
    <t>610</t>
  </si>
  <si>
    <t>620</t>
  </si>
  <si>
    <t>8:  KULTÚRA a ŠPORT</t>
  </si>
  <si>
    <t>9:  PROSTREDIE  PRE  ŽIVOT</t>
  </si>
  <si>
    <t>10:  SOCIÁLNE  SLUŽBY</t>
  </si>
  <si>
    <t>11:  Administratíva</t>
  </si>
  <si>
    <t>650</t>
  </si>
  <si>
    <t>Plyn-nedoplatky</t>
  </si>
  <si>
    <t>Elektricka energia-nedoplatky</t>
  </si>
  <si>
    <t>odmeny na dohodu-odvody,poistné</t>
  </si>
  <si>
    <t>odmeny na dohodu</t>
  </si>
  <si>
    <t>SUMARIZÁCIA - Bežný rozpočet, kapitálový rozpočet, finančné operácie</t>
  </si>
  <si>
    <t>Kontajnery-z dotácie(predch.roky)</t>
  </si>
  <si>
    <t>ZaD ÚPN (predch.roky)</t>
  </si>
  <si>
    <t>Rekonštrukcia a moderniz. MR</t>
  </si>
  <si>
    <t>Kapitálové príjmy - ostatné</t>
  </si>
  <si>
    <t>KAPITÁLOVÉ PRÍJMY</t>
  </si>
  <si>
    <t>Odvody a poistenia zo mzdy</t>
  </si>
  <si>
    <t>ZŠ zost. normatívu z pred.roka</t>
  </si>
  <si>
    <t xml:space="preserve"> - ZŠ - príspevok na lyžiarsky výcvik</t>
  </si>
  <si>
    <t xml:space="preserve"> - ZŠ - príspevok na školu v prírode</t>
  </si>
  <si>
    <t>Register adries-prevádzk.nákl.</t>
  </si>
  <si>
    <t xml:space="preserve"> - Dobrovoľná požiarna ochrana SR - pre DHZ Láb</t>
  </si>
  <si>
    <t>Bežné príjmy obec spolu:</t>
  </si>
  <si>
    <t>PRÍJMY rozpočt.organizácií (MŠ a ZŠ) vlastné</t>
  </si>
  <si>
    <t xml:space="preserve">VÝDAVKY rozpočt.organizácií (MŠ a ZŠ) </t>
  </si>
  <si>
    <t>PRÍJMY OBEC SPOLU (bežné+kapitálové)</t>
  </si>
  <si>
    <t xml:space="preserve">VÝDAVKY OBEC SPOLU (bežné+kapitálové) </t>
  </si>
  <si>
    <t>Transfer asist.služby</t>
  </si>
  <si>
    <t>Skutočnosť</t>
  </si>
  <si>
    <t>Schválený</t>
  </si>
  <si>
    <t>Palivo-osob.motor.vozidlo VW Golf</t>
  </si>
  <si>
    <t>Palivo- osob.motor.vozidlo Š-Fábia</t>
  </si>
  <si>
    <t>OŠK Láb - poplatky SFZ (výkon rozhodcov, delegátov, registračky)</t>
  </si>
  <si>
    <t>OŠK Láb - turnaj prípraviek</t>
  </si>
  <si>
    <t>OŠK Láb - tréningové pomôcky</t>
  </si>
  <si>
    <t>OŠK Láb - zdravotnícke vybavenie</t>
  </si>
  <si>
    <t>zostatok z predch.roka</t>
  </si>
  <si>
    <t>Vypracovala: Katarína Kovárová</t>
  </si>
  <si>
    <t>2021</t>
  </si>
  <si>
    <t>Spracovanie PHSR</t>
  </si>
  <si>
    <t>Odmeny veliteľ</t>
  </si>
  <si>
    <t>Odmeny veliteľ - odvody a poistné</t>
  </si>
  <si>
    <t>Odvody do poisťovní</t>
  </si>
  <si>
    <t>oprava a údržba traktora, hadice, spojky, uzávery...</t>
  </si>
  <si>
    <t>Údržba a oprava ciest zo ŠR</t>
  </si>
  <si>
    <t>8:  KULTÚRA A ŠPORT</t>
  </si>
  <si>
    <t>PROGRAM 8:     Kultúra a šport</t>
  </si>
  <si>
    <t>poplatky, odvody, pokuty</t>
  </si>
  <si>
    <t>MŠ - ostatné príjmy (dobropis...)</t>
  </si>
  <si>
    <t>6</t>
  </si>
  <si>
    <t>2022</t>
  </si>
  <si>
    <t>OŠK Láb dotácia spolu v tom:</t>
  </si>
  <si>
    <t xml:space="preserve"> - prenájom Dom smútku</t>
  </si>
  <si>
    <t xml:space="preserve"> - Dotácia ÚPSVaR na stravné-predškoláci v MŠ</t>
  </si>
  <si>
    <t>Krojovaný deň-obecné fin.prostriedky</t>
  </si>
  <si>
    <t>opatrovateľská služba, komunitný plán</t>
  </si>
  <si>
    <t xml:space="preserve"> + Prebytok /-Schodok kapitálového rozpočtu</t>
  </si>
  <si>
    <t xml:space="preserve"> + Prebytok /-Schodok bežného rozpočtu</t>
  </si>
  <si>
    <t xml:space="preserve"> - prenájom zdravotné stredisko - 2 ambulancie</t>
  </si>
  <si>
    <t>prevádzkové výdavky z ostatných vl. príjmov MŠ (dobropis..)</t>
  </si>
  <si>
    <t>prevádzkové výdavky z poplatkov od rodičov</t>
  </si>
  <si>
    <t xml:space="preserve"> - prenájom bytový dom Láb 666</t>
  </si>
  <si>
    <t>Výstroj,výzbroj z dotácie DPO SR + spoluúčasť obce</t>
  </si>
  <si>
    <t>odmeny na dohodu-údržba-poistné,odvody</t>
  </si>
  <si>
    <t>materiál, údržba výpočt.techniky (obec+ŠR)</t>
  </si>
  <si>
    <t>Údržba majetku obce</t>
  </si>
  <si>
    <t xml:space="preserve">   - vývoz septikov</t>
  </si>
  <si>
    <t xml:space="preserve"> - Matričný úrad</t>
  </si>
  <si>
    <t xml:space="preserve"> - Stavebný úrad </t>
  </si>
  <si>
    <t xml:space="preserve"> - Životné prostredie</t>
  </si>
  <si>
    <t xml:space="preserve"> - Hlásenie pobytu občanov-REGOB</t>
  </si>
  <si>
    <t xml:space="preserve"> - Register adries</t>
  </si>
  <si>
    <t>prevádzkové výdavky z vl.príjmu (nájom telocvične a školy pre SZUŠ)</t>
  </si>
  <si>
    <t>Údržba a služby-cintorín a Domu smútku</t>
  </si>
  <si>
    <t>odmena prevádzkár</t>
  </si>
  <si>
    <t xml:space="preserve">odmena prevádzkár - odvody a poistné </t>
  </si>
  <si>
    <t>610,620,630</t>
  </si>
  <si>
    <t>Vlastné príjmy RO</t>
  </si>
  <si>
    <t>VLASTNÉ PRÍJMY-ROZPOČTOVÝCH ORGANIZÁCIÍ</t>
  </si>
  <si>
    <t>ZŠ ŠJ - príjem za réžiu od rodičov, zamestnancov a ost.stravníkov</t>
  </si>
  <si>
    <t>ZŠ ŠJ - príjem z prenájmu jedálne</t>
  </si>
  <si>
    <t>mzdy, platy a ost.osob.vyrovnania</t>
  </si>
  <si>
    <t>mzdy, platy a ost.osobné vyrovnania</t>
  </si>
  <si>
    <t>015</t>
  </si>
  <si>
    <t>ZŠ-príjem z prenájmu telocvične a školy pre SZUŠ</t>
  </si>
  <si>
    <t>v tom Bežné príjmy rozp.organiz.(MŠaZŠ)-vlastné</t>
  </si>
  <si>
    <t>na vedomie</t>
  </si>
  <si>
    <t>stravovanie zamestnancov</t>
  </si>
  <si>
    <t>prídel do sociálneho fondu</t>
  </si>
  <si>
    <t>telefónne poplatky</t>
  </si>
  <si>
    <t>poštovné služby</t>
  </si>
  <si>
    <t>poistné a príspevky do poisťovní</t>
  </si>
  <si>
    <t>splácanie úrokov z úveru (ŠFRB)</t>
  </si>
  <si>
    <t>poplatky banke</t>
  </si>
  <si>
    <t>tovary a služby z vlastného príjmu (z poplatkov rodičov na MŠ)</t>
  </si>
  <si>
    <t>prevádzkové výdavky z ostatných vlast.príjmov (z príjmu za stravu)</t>
  </si>
  <si>
    <t xml:space="preserve">  - poplatky za predaj výrobkov, tovarov a služieb</t>
  </si>
  <si>
    <t xml:space="preserve"> - Cestná doprava, miestne komunikácie</t>
  </si>
  <si>
    <t>2023</t>
  </si>
  <si>
    <t xml:space="preserve"> - prenájom Lekáreň </t>
  </si>
  <si>
    <t>Výsledok hospodárenia po vylúčení z prebytku</t>
  </si>
  <si>
    <t>MŠ ŠJ - príjem za potraviny (stravné) od rodičov, zamestnancov a ost.stravníkov</t>
  </si>
  <si>
    <t>MŠ ŠJ - príjem od rodičov za obedy (réžia)</t>
  </si>
  <si>
    <t>ZŠ ŠJ - príjem za potraviny (stravné)</t>
  </si>
  <si>
    <t>Softvér, licencie, DMS modul,router</t>
  </si>
  <si>
    <t>Tvorba novej web stránky obce</t>
  </si>
  <si>
    <t>Civilná ochrana - COVID-19</t>
  </si>
  <si>
    <t>3</t>
  </si>
  <si>
    <t>02.2</t>
  </si>
  <si>
    <t>Všeobecný materiál, dezinfekčné prostriedky, ochranné rúška, bezpečnostné sklá....</t>
  </si>
  <si>
    <t>Výstavba garáže-dokončovacie práce</t>
  </si>
  <si>
    <t>Fekálny príves na vývoz septikov</t>
  </si>
  <si>
    <t>prevádzkové výdavky z ostatných vlast.príjmov (z príjmu od rodičov za obedy)-réžia</t>
  </si>
  <si>
    <t>Dobudovanie sociálnych zariadení v klube JDS</t>
  </si>
  <si>
    <t>Odmeny dobrovoľníkom spolupracujúcim na celoplošnom testovaní na ochorenie COVID-19</t>
  </si>
  <si>
    <t xml:space="preserve"> - ostatné poplatky (MZZO, ost.správne poplatky)</t>
  </si>
  <si>
    <t>PHM kosačky</t>
  </si>
  <si>
    <t>PHM traktor</t>
  </si>
  <si>
    <t>mzdy a ost.osob.vyrovnania-údržba+upratovanie, vrátane nadčasov</t>
  </si>
  <si>
    <t>Právne služby obce</t>
  </si>
  <si>
    <t>Výkonné a zákonodarné orgány</t>
  </si>
  <si>
    <t>Miestny rozhlas a obecné noviny</t>
  </si>
  <si>
    <t>Vysielacie a vydavateľské služby</t>
  </si>
  <si>
    <t>Mzdy a ost.osobné vyrovnania, vrátane príplatkov za nadčasy (2 ZC)</t>
  </si>
  <si>
    <t>Všeobecný materiál</t>
  </si>
  <si>
    <t>03.6</t>
  </si>
  <si>
    <t>Verejný poriadok - kamerový systém</t>
  </si>
  <si>
    <t>Sociálna výpomoc občanom - jednotlivci</t>
  </si>
  <si>
    <t>Akumulátory Š706 2ks</t>
  </si>
  <si>
    <t>Akumulátor Renault Master 1ks</t>
  </si>
  <si>
    <t>Ročná garančná prehliadka Iveco Daily</t>
  </si>
  <si>
    <t xml:space="preserve"> - OŠK Láb</t>
  </si>
  <si>
    <t>bežné</t>
  </si>
  <si>
    <t>Servis, údržba vozidiel, STK, EK</t>
  </si>
  <si>
    <t>2024</t>
  </si>
  <si>
    <t>zostatok z  predch.obdobia-stravné a potraviny</t>
  </si>
  <si>
    <t>Realizácia bezpečnostného priechodu na ceste III. Triedy č. 1103</t>
  </si>
  <si>
    <t xml:space="preserve"> - ZŠ - nenormatívne - Spolu múdrejší</t>
  </si>
  <si>
    <t xml:space="preserve"> - MŠ projekt "Múdre hranie"</t>
  </si>
  <si>
    <t xml:space="preserve"> - Nafta - Workoutové ihrisko</t>
  </si>
  <si>
    <t>Projekt "Múdre hranie"</t>
  </si>
  <si>
    <t>ZŠ ostatné výdavky (prevádzka) z dobropisov</t>
  </si>
  <si>
    <t>energie ŠK (voda)</t>
  </si>
  <si>
    <t>Kapitál.výdavky - "Workoutové ihrisko" z dotácie Nafty</t>
  </si>
  <si>
    <t>Kapitál.výdavky - "Workoutové ihrisko" obecné fin.prostriedky</t>
  </si>
  <si>
    <t>BEŽNÉ PRÍJMY SPOLU vrátane príjmov RO:</t>
  </si>
  <si>
    <t>Materská škola + ŠJ</t>
  </si>
  <si>
    <t>poistné zo mzdy zo ŠR (z príspevku pre predškolákov)</t>
  </si>
  <si>
    <t>tovary a služby zo ŠR (z príspevku pre predškolákov)</t>
  </si>
  <si>
    <t>Príspevok zo ŠR (štátny rozpočet) na predškolákov = prenesený výkon štátnej správy</t>
  </si>
  <si>
    <t>Originálne kompetencie = kompetencie obce</t>
  </si>
  <si>
    <t>mzdy, platy a ostat. osobné vyrovnania zo ŠR (z príspevku na predškolákov)</t>
  </si>
  <si>
    <t>Ostatné príjmy, projekty</t>
  </si>
  <si>
    <t>príspevok pre predškolákov na stravné z ÚPSVaR</t>
  </si>
  <si>
    <t>mzdy, platy a ost.osobné vyrovnania zo ŠR (normatívne finančné prostriedky)</t>
  </si>
  <si>
    <t>poistné zo mzdy zo ŠR (normatívne finančné prostriedky)</t>
  </si>
  <si>
    <t>Ostatné príjmy zo ŠR (štátny rozpočet), projekty...</t>
  </si>
  <si>
    <t>Ostatné príjmy - vlastné príjmy</t>
  </si>
  <si>
    <t>Príspevok zo ŠR (štátny rozpočet)  = prenesený výkon štátnej správy</t>
  </si>
  <si>
    <t xml:space="preserve"> - ostatný prenájom</t>
  </si>
  <si>
    <t xml:space="preserve">   - kopírovacie práce,MR,odp.vrecia a nádoby</t>
  </si>
  <si>
    <t>Havarijný stav strechy Domu smútku</t>
  </si>
  <si>
    <t>Havarijný stav-revitalizácia budovy starej školy</t>
  </si>
  <si>
    <t>Realizácia stavieb a ich technické zhodnotenie - rekonštrukcia kúpeľne, výmena okien a dverí</t>
  </si>
  <si>
    <t>Rekonštrukcia ČOV-rozšírenie, vrátane PD</t>
  </si>
  <si>
    <t>Projekt a realizácia dopravného značenia pri ZŠ a MŠ</t>
  </si>
  <si>
    <t>Predprimárne vzdelávanie</t>
  </si>
  <si>
    <t>Primárne vzdelávanie</t>
  </si>
  <si>
    <t>09.1.1.1</t>
  </si>
  <si>
    <t>09.1.2.1</t>
  </si>
  <si>
    <t>Vlastné príjmy MŠ vrátane ŠJ (škol.jedáleň)</t>
  </si>
  <si>
    <t xml:space="preserve">          Obecný úrad</t>
  </si>
  <si>
    <t xml:space="preserve">          Stará škola</t>
  </si>
  <si>
    <t xml:space="preserve">          Zdravotné stredisko</t>
  </si>
  <si>
    <t>F I N A N Č N É   O P E R Á CI E  spolu</t>
  </si>
  <si>
    <t>Príjmové finančné operácie</t>
  </si>
  <si>
    <t>Výdavkové finančné operácie</t>
  </si>
  <si>
    <t xml:space="preserve"> z  poplatku za rozvoj</t>
  </si>
  <si>
    <t xml:space="preserve"> z rezervného fondu</t>
  </si>
  <si>
    <t>Návrh</t>
  </si>
  <si>
    <t>DHZO</t>
  </si>
  <si>
    <t>Oprava strechy nad starou časťou</t>
  </si>
  <si>
    <t>Oprava podlahy v garáži</t>
  </si>
  <si>
    <t>Prevádzkové náklady (kancelárske pomôcky, materiál, pracovné a čistiace prostriedky, hygienické...)</t>
  </si>
  <si>
    <t>DHZ Láb (rozvoj členskej základne, cezhraničná spolupráca...)</t>
  </si>
  <si>
    <t>Propagácia obce, inzercia, výzdoba</t>
  </si>
  <si>
    <t>oprava a údržba traktora, STK</t>
  </si>
  <si>
    <t>2025</t>
  </si>
  <si>
    <t>Rekonštrukcia kúpeľne MŠ</t>
  </si>
  <si>
    <t>Šatníkové skrinky a lavičky</t>
  </si>
  <si>
    <t xml:space="preserve"> - prenájom Potraviny Červenka Láb 286+nedopl.</t>
  </si>
  <si>
    <t xml:space="preserve"> - poplatky za sobáš</t>
  </si>
  <si>
    <t xml:space="preserve"> - ZŠ - nenormatívne - Spolu múdrejší (ŠR)</t>
  </si>
  <si>
    <t xml:space="preserve"> - ZŠ - príspevok na lyžiarsky výcvik /ŠR)</t>
  </si>
  <si>
    <t xml:space="preserve"> - ZŠ - príspevok na školu v prírode (ŠR)</t>
  </si>
  <si>
    <t xml:space="preserve"> - ZŠ - školské pomôcky pre odídencov z UA</t>
  </si>
  <si>
    <t xml:space="preserve"> - ZŠ - vzdelávacie poukazy (ŠR)</t>
  </si>
  <si>
    <t xml:space="preserve"> - MŠ predškoláci (nenormatívne)</t>
  </si>
  <si>
    <t xml:space="preserve"> - Príspevky na ubytovanie odídencov z UA-zo ŠR</t>
  </si>
  <si>
    <t xml:space="preserve"> - Nafta, resp. Nadácia EPH - na odpadové nádoby</t>
  </si>
  <si>
    <t>315</t>
  </si>
  <si>
    <t>ana.222</t>
  </si>
  <si>
    <t>Prístavba Materskej školy - dotácia</t>
  </si>
  <si>
    <t>Odkúpenie pozemkov lokalita Zastávky-Stránky</t>
  </si>
  <si>
    <t>Zvýšenie kapacity triedeného zberu a zhodnocovania odpadov - 5% spoluúčasť obce</t>
  </si>
  <si>
    <t>Prístavba Materskej školy - spolufinancovanie obce vo výške 5%</t>
  </si>
  <si>
    <t>Fotopasce+ost.materiál (info tabule, solárne napájanie...)</t>
  </si>
  <si>
    <t>Prevádz.nákl.-kytice,tonery,materiál</t>
  </si>
  <si>
    <t>Fotovoltaika na budovu ČOV</t>
  </si>
  <si>
    <t>Polohopisné a výškopisné zameranie kanalizácie</t>
  </si>
  <si>
    <t>4.1</t>
  </si>
  <si>
    <t>5.1</t>
  </si>
  <si>
    <t>odmeny v zmysle Kolektívnej zmluvy VS</t>
  </si>
  <si>
    <t>poistné z odmeny v zmysle KZ VS</t>
  </si>
  <si>
    <t>4.1.2</t>
  </si>
  <si>
    <t>5.1.2</t>
  </si>
  <si>
    <t>Dary a granty od Nadácie VW a BVS</t>
  </si>
  <si>
    <t xml:space="preserve"> - ZŠ - príspevok na učebnice, edukačné publ.</t>
  </si>
  <si>
    <t xml:space="preserve"> - ZŠ - škol.pomôcky pre odídencov z UA</t>
  </si>
  <si>
    <t>Monitorovacie náramky-služby,poplatok</t>
  </si>
  <si>
    <t>Sociálna výpomoc občanom-jednotlivci</t>
  </si>
  <si>
    <t>Príspevky na ubytovanie odídencov z UA</t>
  </si>
  <si>
    <t>v hmotnej núdzi, odídencov z UA</t>
  </si>
  <si>
    <t xml:space="preserve">čistiace prostriedky </t>
  </si>
  <si>
    <t xml:space="preserve">          Budova potraviny</t>
  </si>
  <si>
    <t>Oprava a údržba vozidiel</t>
  </si>
  <si>
    <t>Právne služby ostatné, služby vo verejnom obstarávaní</t>
  </si>
  <si>
    <t>Plat zástupcu starostu+odvody</t>
  </si>
  <si>
    <t>620, 630</t>
  </si>
  <si>
    <t>Údržba, oprava, rekonštrukcia budov</t>
  </si>
  <si>
    <t>odmeny na dohodu - robotníci, sezónne práce</t>
  </si>
  <si>
    <t>100,200,300</t>
  </si>
  <si>
    <t>200,300</t>
  </si>
  <si>
    <t>por.č.</t>
  </si>
  <si>
    <t>FK</t>
  </si>
  <si>
    <t>EK</t>
  </si>
  <si>
    <t>PROGRAM 1: Plánovanie, manažment a kontrola</t>
  </si>
  <si>
    <t>Originálne kompetencie MŠ+ŠJ = kompetencie obce</t>
  </si>
  <si>
    <t>Prevádzk.náklady-telef.poplatky</t>
  </si>
  <si>
    <t>Mzda hlavná matrikárka</t>
  </si>
  <si>
    <t>Ošatné hlavná matrikárka</t>
  </si>
  <si>
    <t>odber a rozbor vzoriek</t>
  </si>
  <si>
    <t>orig. kompet.</t>
  </si>
  <si>
    <t>Fond opráv, nedoplatky za odsťahovaných, neobsadený byt</t>
  </si>
  <si>
    <t>11</t>
  </si>
  <si>
    <t>nádoby na odpad a psie exkrementy z dotácie spol. Nafta</t>
  </si>
  <si>
    <t>Údržba ciest, zemné práce</t>
  </si>
  <si>
    <t>Ochrana zdravia a živ.prostredia-zemné práce na smetisku Búrkové, práce s buldozérom</t>
  </si>
  <si>
    <t>Výmena motor.oleja Renault Master/Tatra</t>
  </si>
  <si>
    <t>Kanalizácia-dokončenie spoluúčasť</t>
  </si>
  <si>
    <t>PHM traktor na vývoz septikov</t>
  </si>
  <si>
    <t>poistenie traktora na vývoz septikov</t>
  </si>
  <si>
    <t>STK traktor na vývoz septikov</t>
  </si>
  <si>
    <t>OŠK Láb - inventár (napr. sušička)</t>
  </si>
  <si>
    <t>Špeciálny materiál-hadice a pod.</t>
  </si>
  <si>
    <t>Kanalizácia 3.etapa (obecné fin.prostriedky) + PD</t>
  </si>
  <si>
    <t>Energie - plyn</t>
  </si>
  <si>
    <t>Energie - elektrina</t>
  </si>
  <si>
    <t>energie ŠK - plyn</t>
  </si>
  <si>
    <t>energie ŠK - elektrina</t>
  </si>
  <si>
    <t>Prenájom pozemkov ihrisko (SPF) a ostatných pozemkov</t>
  </si>
  <si>
    <t>tovary a služby-prevádzka ZŠ, údržba budovy, energie (zo ŠR) (normatívne finančné prostriedky)</t>
  </si>
  <si>
    <t>tovary a služby, energie - prevádzka ŠKD</t>
  </si>
  <si>
    <t>výdavky z vlastného príjmu (nájom ŠJ, termoboxy) na mzdy, odvody, tovary a služby, energie</t>
  </si>
  <si>
    <t>výdavky (z vlastného príjmu za jedlo od rodičov) na mzdy, odvody, energie, tovary a služby - potraviny</t>
  </si>
  <si>
    <t>PD a inžin.činnosť na rozšírenie MŠ</t>
  </si>
  <si>
    <t>PD a inžin.činnosť - Prístavba ZŠ</t>
  </si>
  <si>
    <t>012 017</t>
  </si>
  <si>
    <t>pokuta SIŽP</t>
  </si>
  <si>
    <t xml:space="preserve">Prístavba Základnej školy - dotácia </t>
  </si>
  <si>
    <t>OŠK Láb - prevádzkové náklady (čistiace prostriedky, pracie prášky, kosenie, starostlivosť o trávnik.plochu...)</t>
  </si>
  <si>
    <t>OŠK Láb - Doprava na majstrovské zápasy (zápasy, tréningy, turnaje, sústredenia)</t>
  </si>
  <si>
    <t>Z. Pálinkášová - OZ Move&amp;Think (zdravotná gymnastika pre všetkých)</t>
  </si>
  <si>
    <t>Jednota dôchodcov na Slovensku, Základná organizácia Láb (relaxačný pobyt-doprava, divadelné predstavenia..)</t>
  </si>
  <si>
    <t>Poistenie zákonné (osobné vozidlá)</t>
  </si>
  <si>
    <t>Tzn. že až v ročnom výkaze sa premietnu skutočné príjmy a výdavky na komunálny odpad. Poznámka: Klesá tonáž vyvezeného odpadu.</t>
  </si>
  <si>
    <t>Igor Gabriš - reprezentácia obce na MS vo footgolfe</t>
  </si>
  <si>
    <t>Martin Galajda - reprezentácia obce na MS vo footgolfe</t>
  </si>
  <si>
    <t>Lucia Čermáková - reprezentácia obce na MŠ vo footgolfe</t>
  </si>
  <si>
    <t>OŠK Láb - športové a tréningové potreby</t>
  </si>
  <si>
    <t>návrh do rozpočtu</t>
  </si>
  <si>
    <t>účel dotácie podľa žiadosti</t>
  </si>
  <si>
    <t>Úver z banky</t>
  </si>
  <si>
    <t xml:space="preserve">Kanalizácia-dokončenie celá obec z dotácie </t>
  </si>
  <si>
    <t>Zvýšenie kapacity triedeného zberu a zhodnocovania odpadov - z dotácie</t>
  </si>
  <si>
    <t>Prístavba Základnej školy - z dotáciae</t>
  </si>
  <si>
    <t>Prístavba Materskej školy - z dotácie</t>
  </si>
  <si>
    <t xml:space="preserve">Kanalizácia dokončenie celá obec - dotácia </t>
  </si>
  <si>
    <t>Kanalizácia 3.etapa -z dotácie</t>
  </si>
  <si>
    <t>Programový rozpočet obce Láb na roky 2024, 2025, 2026  -  schválený DD.MM.RRRR, uzn.č. XX/2023</t>
  </si>
  <si>
    <t>2026</t>
  </si>
  <si>
    <t>Špecifiká UA - zo ŠR</t>
  </si>
  <si>
    <t xml:space="preserve"> - MŠ - špecifiká UA (ŠR)</t>
  </si>
  <si>
    <t xml:space="preserve"> - ZŠ - odchodné (ŠR)</t>
  </si>
  <si>
    <t xml:space="preserve"> - ZŠ - asistent učiteľa (ŠR)</t>
  </si>
  <si>
    <t>Kapitál.výdavky - Klimatizácia</t>
  </si>
  <si>
    <t>312</t>
  </si>
  <si>
    <t xml:space="preserve"> - prenájom ostatné (napr.plynové zariadenie, multif.ihrisko...) </t>
  </si>
  <si>
    <t xml:space="preserve">  -ZŠ - normatívne finančné prostriedky (ŠR)</t>
  </si>
  <si>
    <t xml:space="preserve">  -ZŠ - odchodné (ŠR)</t>
  </si>
  <si>
    <t xml:space="preserve"> - ZŠ - špecifiká UA (ŠR)</t>
  </si>
  <si>
    <t xml:space="preserve"> - ZŠ - príspevok na učebnice, edukačné publikácie (ŠR)</t>
  </si>
  <si>
    <t xml:space="preserve"> - Voľby + SOBD + referendum...</t>
  </si>
  <si>
    <t>699 201     699 202      699 204</t>
  </si>
  <si>
    <t>699 003      699 101</t>
  </si>
  <si>
    <t>Cestovné náhrady starostu (PHM)</t>
  </si>
  <si>
    <t>Audit IÚZ a KÚZ</t>
  </si>
  <si>
    <t xml:space="preserve"> - ZŠ - profesijný rozvoj (ŠR)</t>
  </si>
  <si>
    <t xml:space="preserve"> - ZŠ - energie 3.kolo /dohodovacie konanie/ (ŠR)</t>
  </si>
  <si>
    <t xml:space="preserve"> - MŠ profesijný rozvoj</t>
  </si>
  <si>
    <t xml:space="preserve"> - MIRRI-nenávratný finančný príspevok na podporu operácií zameraných na riešenie migračných výziev</t>
  </si>
  <si>
    <t xml:space="preserve"> - Dotácia ÚPSVaR na stravné-žiaci v ZŠ + UA</t>
  </si>
  <si>
    <t xml:space="preserve"> - Úrad vlády SR-rezerva predsedu vlády-rekonštrukcia Domu smútku</t>
  </si>
  <si>
    <t>Rekonštrukcia a modernizácia autobusových zastávok - dotácia BSK</t>
  </si>
  <si>
    <t>Revitalizácia budovy obecného úradu - dotácia</t>
  </si>
  <si>
    <t>Zvýšenie kapacity triedeného zberu a zhodnocovania odpadov - dotácia</t>
  </si>
  <si>
    <t>Dotácia na traktor</t>
  </si>
  <si>
    <t>Kanalizácia 3.etapa - dotácia</t>
  </si>
  <si>
    <t>Ozvučenie obec</t>
  </si>
  <si>
    <t>Projektová dokumentácia na Revitalizácia budovy obecného úradu + PD solárne panely</t>
  </si>
  <si>
    <t>Revitalizácia budovy obecného úradu - z dotácie</t>
  </si>
  <si>
    <t>Revitalizácia budovy obecného úradu - obec</t>
  </si>
  <si>
    <t>Projektová dokumentácia - kanalizácia (aktualizácia PD)</t>
  </si>
  <si>
    <t>Traktor - z dotácie</t>
  </si>
  <si>
    <t>Traktor - obec spoluúčasť</t>
  </si>
  <si>
    <t>Prístavba Základnej školy - práce naviac</t>
  </si>
  <si>
    <t>Prístavba Materskej školy - práce naviac a neoprávnené výdavky</t>
  </si>
  <si>
    <t>Oprava Domu smútku (z rezervy predsedu vlády)</t>
  </si>
  <si>
    <t>Rovnošaty pre detský hasičský zbor</t>
  </si>
  <si>
    <t>Poistenie PZP - MA835AG, MAS161DC</t>
  </si>
  <si>
    <t>Poistenie PZP - CAS 32 T815</t>
  </si>
  <si>
    <t>Rekonštrukcia hlavnej prečerpávačky z dotácie EPH</t>
  </si>
  <si>
    <t>pracovný odev (2 zamestnanci)</t>
  </si>
  <si>
    <t>likvidácia psích exkrementov</t>
  </si>
  <si>
    <t>Pasportizácia miestnych komunikácií</t>
  </si>
  <si>
    <t>Profesijný rozvoj</t>
  </si>
  <si>
    <t xml:space="preserve"> - ZŠ -  špecifiká UA (ŠR)</t>
  </si>
  <si>
    <t xml:space="preserve"> - ZŠ - energie 3.kolo /dohodovacie konanie</t>
  </si>
  <si>
    <t>zostatok z predch.roka-normatív + vzdel.poukazy</t>
  </si>
  <si>
    <t>dotácia na stravné od ÚPSVaR</t>
  </si>
  <si>
    <t>transfer pre žiakov v CVČ s trvalým pobytom v Lábe</t>
  </si>
  <si>
    <t>Adam Kubišta - reprezentácia obce na MS v naturálnej kulturistike v Anglicku</t>
  </si>
  <si>
    <t>materiál na VO + služby, opravy</t>
  </si>
  <si>
    <t>Rekonštrukcia a modernizácia autobusových zastávok - z dotácie BSK</t>
  </si>
  <si>
    <t>Rekonštrukcia a modernizácia autobusových zastávok - obecné fin.prostriedky</t>
  </si>
  <si>
    <t>Poradenské služby, služby v oblasti spracovania projektov</t>
  </si>
  <si>
    <t>voľby + SODB + referendum</t>
  </si>
  <si>
    <t>Zábezpeka pri Verejnom obstarávaní</t>
  </si>
  <si>
    <t>Vrátenie zábezpeky pri Verejnom obstarávaní</t>
  </si>
  <si>
    <t xml:space="preserve">  - daň za psa (vrátane nedoplatkov)</t>
  </si>
  <si>
    <t xml:space="preserve">  - poplatok za komun.odpady a drobné staveb.odpady (vrátane nedoplatkov)</t>
  </si>
  <si>
    <t xml:space="preserve"> - poplatok za DSO v zmysle VZN (Obecný dvor)</t>
  </si>
  <si>
    <t xml:space="preserve">   - štartovné na Lábsky Junák</t>
  </si>
  <si>
    <t xml:space="preserve">   - pokuty za priestupky a porušenie predpisov</t>
  </si>
  <si>
    <t xml:space="preserve"> - Environmentálny fond - príspevok za úroveň vytriedenia KO a BRKO</t>
  </si>
  <si>
    <t xml:space="preserve">Drobné opravy a údržba budovy OcÚ </t>
  </si>
  <si>
    <t>Realizácia rozšírenia cintorína</t>
  </si>
  <si>
    <t>8</t>
  </si>
  <si>
    <t xml:space="preserve">Náhradné diely na opravy </t>
  </si>
  <si>
    <t>Oprava a údržba automobilov, techniky, materiál - napr. batérie</t>
  </si>
  <si>
    <t>Revízia ADP Saturn</t>
  </si>
  <si>
    <t>Revízia tl.nádoby</t>
  </si>
  <si>
    <t>pracovný odev, rukavice...</t>
  </si>
  <si>
    <t>prerábka bezbariérového vstupu do klubu dôchodcov</t>
  </si>
  <si>
    <t>Kamerový systém</t>
  </si>
  <si>
    <t>odborné publikácie, knihy, časopisy, online prístupy napr. vssr.sk</t>
  </si>
  <si>
    <t>Zber, odvoz a zneškodenenie odpadov</t>
  </si>
  <si>
    <t>10</t>
  </si>
  <si>
    <t>Údržba majetku obce, opravy, drobné rekonštrukcie /ostatné budovy: stará škola, klub dôchodcov, svadobka.../</t>
  </si>
  <si>
    <t>DEUS-informačný systém /ročný poplatok), vrátane údržby VT</t>
  </si>
  <si>
    <t>Materiál-tonery,pásky,médiá</t>
  </si>
  <si>
    <t>Projektové dokumentácie všeobecne</t>
  </si>
  <si>
    <t>telef.popl., poštovné /obec/</t>
  </si>
  <si>
    <t>materiál, služby /ŠR/</t>
  </si>
  <si>
    <t>poistné,príspevky do poisťovní (obec+ŠR)</t>
  </si>
  <si>
    <t>mzdy a ost.osob.vyrovnania (obec+ŠR)</t>
  </si>
  <si>
    <t>prog. 4 - Kamerový systém</t>
  </si>
  <si>
    <t>prog. 10 - Klub dôchodcov - bezbar.prístup</t>
  </si>
  <si>
    <t>Rozpočet Obce Láb na rok 2024 bol schválený ObZ dňa DD.MM.RRRR, uznesením č. XX/2023</t>
  </si>
  <si>
    <t>GO palivového čerpadla Š706</t>
  </si>
  <si>
    <t>* Elektrická energia:   z toho:</t>
  </si>
  <si>
    <t>* Plyn:   z toho:</t>
  </si>
  <si>
    <t xml:space="preserve"> * zmluvy na dodávku energií do 31.12.2024</t>
  </si>
  <si>
    <t>poistenie v prog. 2</t>
  </si>
  <si>
    <t>Finančné prostriedky na kompenzáciu vysokých cien energií</t>
  </si>
  <si>
    <t>Reprezentačné a dary (deň učiteľov, jubileá, oficiálne návštevy...)</t>
  </si>
  <si>
    <t>Členské príspevky (RVC, MAS Dolné Záhorie, ZMO Záhorie, ZMOS, NO Enviropark Pomoravie) + vložné za delegáta snemu ZMOS</t>
  </si>
  <si>
    <t>Poskytnutie návratného finančného príspevku MAS Dolné Záhorie</t>
  </si>
  <si>
    <t>Nákup pozemkov (Žaludný)</t>
  </si>
  <si>
    <t>Nákup pozemkov - "Malá Lúka"</t>
  </si>
  <si>
    <t>PD - renovácia chodníkov</t>
  </si>
  <si>
    <t>Dotácia na stravu pre žiaka s osobitným stravovaním</t>
  </si>
  <si>
    <t>10.4.0</t>
  </si>
  <si>
    <t>Rodina a deti zo ŠR - ÚPSVaR</t>
  </si>
  <si>
    <t>Osobitné stravovanie v ŠJ pri ZŠ (z ÚPSVaR)</t>
  </si>
  <si>
    <t>Osobitné stravovanie v ŠJ pri MŠ (z ÚPSVaR)</t>
  </si>
  <si>
    <t>Lábsky Junák ostatné výdavky</t>
  </si>
  <si>
    <t>Lábsky Junák - použitie štartovného</t>
  </si>
  <si>
    <t>činnosť kultúrnej komisie-kult.akcie (stavanie mája, deň matiek, vítanie leta + deň detí...)</t>
  </si>
  <si>
    <t>Projektová dokumentácia - autobusové zastávky</t>
  </si>
  <si>
    <t>Výmena spoj.laniek a čapov Renault Master</t>
  </si>
  <si>
    <t>                 I. periodická prehliadka     458,44 € s dph           rozsah práce 3,5 hodiny</t>
  </si>
  <si>
    <t>                II. periodická prehliadka    973,09 € s dph           rozsah práce 8,5 hodiny</t>
  </si>
  <si>
    <t>                IV. periodická prehliadka  1110,60€ s dph           rozsah práce 10,1 hodiny</t>
  </si>
  <si>
    <t>                V. periodická prehliadka          790 € s dph           rozsah práce 4,5 hodiny</t>
  </si>
  <si>
    <t>v roku 2024 bude IV. Prehliadka</t>
  </si>
  <si>
    <t xml:space="preserve"> - Fond na podporu umenia - Krojovaný deň</t>
  </si>
  <si>
    <t>Krojovaný deň-z dotácie Fondu na podporu umenia</t>
  </si>
  <si>
    <t xml:space="preserve">Monitorovacie náramky-inštalácia </t>
  </si>
  <si>
    <t xml:space="preserve">MAS Dolné Záhorie - alokácia pre obec LÁB – 79 219 € </t>
  </si>
  <si>
    <t xml:space="preserve">výstavba a rekonštrukcia miestnych komunikácií, lávok, mostov, chodníkov a záchytných parkovísk, autobusových zastávok. </t>
  </si>
  <si>
    <t xml:space="preserve">výstavba, rekonštrukcia, modernizácia, dostavba kanalizácie, vodovodu, alebo čistiarne odpadových vôd. </t>
  </si>
  <si>
    <t xml:space="preserve">zlepšenie vzhľadu obcí – úprava a tvorba verejných priestranstiev, námestí, parkov, aleje, pešie zóny, nábrežia </t>
  </si>
  <si>
    <t>prog. 2 - Prístavba ZŠ - práce naviac</t>
  </si>
  <si>
    <t>prog. 2 - Prístavba MŠ - práce naviac</t>
  </si>
  <si>
    <t>prog. 2 - Kanalizácia - aktualizácia projekt.dokumentácie</t>
  </si>
  <si>
    <t>prog. 2 - Projektové dokumentácie všeobecne</t>
  </si>
  <si>
    <t>prog. 6 - Cesty, chodníky</t>
  </si>
  <si>
    <t>1 x multifunkčné zariadenie /tlačiareň, skener/</t>
  </si>
  <si>
    <t>poistenie komplet vyššie</t>
  </si>
  <si>
    <t>Hydrant pri Materskej škole</t>
  </si>
  <si>
    <t>poistenie komplet v prog.2</t>
  </si>
  <si>
    <t>údaje z BVS, odborné prevádzkovanie a technologický dozor ČOV - Hydrotech, Vyskočil</t>
  </si>
  <si>
    <t>prog. 2 - Zvýšenie kapacity triedeného zberu - spoluúčasť obce</t>
  </si>
  <si>
    <t>prog. 2 - Hydrant</t>
  </si>
  <si>
    <t>z RF</t>
  </si>
  <si>
    <t>z Rozvoj</t>
  </si>
  <si>
    <r>
      <t xml:space="preserve">tovary a služby-prevádzka MŠ, údržba budovy, </t>
    </r>
    <r>
      <rPr>
        <sz val="9"/>
        <rFont val="Arial CE"/>
        <family val="0"/>
      </rPr>
      <t>energie</t>
    </r>
  </si>
  <si>
    <r>
      <rPr>
        <sz val="9"/>
        <color indexed="10"/>
        <rFont val="Arial CE"/>
        <family val="0"/>
      </rPr>
      <t>Kompletné poistenie majetku obce</t>
    </r>
    <r>
      <rPr>
        <sz val="9"/>
        <rFont val="Arial CE"/>
        <family val="2"/>
      </rPr>
      <t xml:space="preserve"> /budovy, vozidlá, traktory, osoby-DHZ.../</t>
    </r>
  </si>
  <si>
    <r>
      <t xml:space="preserve">Elektronizácia služieb-servisná podpora - </t>
    </r>
    <r>
      <rPr>
        <sz val="9"/>
        <rFont val="Arial CE"/>
        <family val="0"/>
      </rPr>
      <t>ročný poplatok podľa počtu obyvateľov</t>
    </r>
  </si>
  <si>
    <t xml:space="preserve"> - poplatok za rozvoj (predpis na rok+nedopl.z predch.období)</t>
  </si>
  <si>
    <r>
      <t xml:space="preserve">   - </t>
    </r>
    <r>
      <rPr>
        <b/>
        <sz val="9"/>
        <rFont val="Arial CE"/>
        <family val="0"/>
      </rPr>
      <t xml:space="preserve">preplatok </t>
    </r>
    <r>
      <rPr>
        <sz val="9"/>
        <rFont val="Arial CE"/>
        <family val="0"/>
      </rPr>
      <t>za vypúšťanie odpad.vôd</t>
    </r>
  </si>
  <si>
    <t xml:space="preserve"> - MVSR-fin.prostr.na testovanie COVID-19</t>
  </si>
  <si>
    <r>
      <t xml:space="preserve">   - asistenčný poplatok IOM </t>
    </r>
    <r>
      <rPr>
        <sz val="7"/>
        <rFont val="Arial CE"/>
        <family val="0"/>
      </rPr>
      <t>(223001 25 = 1,90€)</t>
    </r>
  </si>
  <si>
    <t xml:space="preserve">Vratky </t>
  </si>
  <si>
    <r>
      <t xml:space="preserve">MŠ-dary a granty od Nadácie </t>
    </r>
    <r>
      <rPr>
        <sz val="8"/>
        <rFont val="Arial CE"/>
        <family val="0"/>
      </rPr>
      <t>VW a BVS</t>
    </r>
  </si>
  <si>
    <t xml:space="preserve"> - z prenajatých pozemkov, vodnej plochy</t>
  </si>
  <si>
    <t xml:space="preserve"> - dividendy z BVS</t>
  </si>
  <si>
    <t xml:space="preserve">   - stočné</t>
  </si>
  <si>
    <t xml:space="preserve">  - popl. za mimoriadne čistenie zariadení</t>
  </si>
  <si>
    <t xml:space="preserve">  Dom smútku (33,-/mes.) </t>
  </si>
  <si>
    <r>
      <t xml:space="preserve">  Zdrav.stredisko 2 ambulancie </t>
    </r>
    <r>
      <rPr>
        <sz val="7"/>
        <rFont val="Arial CE"/>
        <family val="0"/>
      </rPr>
      <t>(2x50,00€/mes.)</t>
    </r>
  </si>
  <si>
    <t xml:space="preserve">  Lekáreň V.R.P.Zdravie (199,16/mes.; resp.500€/mes.)</t>
  </si>
  <si>
    <t xml:space="preserve">  Posilovňa  (100,-/mes.; resp. 150.-/mes.)</t>
  </si>
  <si>
    <t xml:space="preserve">   Ostatné-zmluvy o výpožičke</t>
  </si>
  <si>
    <r>
      <t xml:space="preserve">   Príjem z refakt.energií Potraviny </t>
    </r>
    <r>
      <rPr>
        <sz val="7"/>
        <rFont val="Arial CE"/>
        <family val="0"/>
      </rPr>
      <t>za minulé obdobie</t>
    </r>
  </si>
  <si>
    <t>(preplatky energie, PHM od DPO, dobropisy,  tabuľky s orient. číslami)</t>
  </si>
  <si>
    <t>Členstvo v samosprávnych org. a združeniach</t>
  </si>
  <si>
    <r>
      <t xml:space="preserve">Poplatky SOZA, </t>
    </r>
    <r>
      <rPr>
        <strike/>
        <sz val="9"/>
        <rFont val="Arial CE"/>
        <family val="0"/>
      </rPr>
      <t>RTVS</t>
    </r>
  </si>
  <si>
    <r>
      <t xml:space="preserve">Obecné noviny-Lábske noviny </t>
    </r>
    <r>
      <rPr>
        <sz val="9"/>
        <rFont val="Arial CE"/>
        <family val="0"/>
      </rPr>
      <t>(zmena periodicity na občasník, tzn. min.2 čísla do roka)</t>
    </r>
  </si>
  <si>
    <r>
      <t xml:space="preserve">PD Zámer Rozšírenie cintorína - </t>
    </r>
    <r>
      <rPr>
        <sz val="9"/>
        <rFont val="Arial CE"/>
        <family val="0"/>
      </rPr>
      <t>PD na stavebné povolenie</t>
    </r>
  </si>
  <si>
    <r>
      <t xml:space="preserve">Materská škola + ŠJ - </t>
    </r>
    <r>
      <rPr>
        <b/>
        <sz val="9"/>
        <color indexed="10"/>
        <rFont val="Arial CE"/>
        <family val="0"/>
      </rPr>
      <t>PRÍSTAVBA</t>
    </r>
  </si>
  <si>
    <r>
      <t xml:space="preserve">Originálne kompetencie MŠ+ŠJ = kompetencie obce - </t>
    </r>
    <r>
      <rPr>
        <b/>
        <i/>
        <sz val="9"/>
        <color indexed="10"/>
        <rFont val="Arial CE"/>
        <family val="0"/>
      </rPr>
      <t>PRÍSTAVBA</t>
    </r>
  </si>
  <si>
    <r>
      <t xml:space="preserve">Vlastné príjmy MŠ vrátane ŠJ (škol.jedáleň) - </t>
    </r>
    <r>
      <rPr>
        <b/>
        <i/>
        <sz val="9"/>
        <color indexed="10"/>
        <rFont val="Arial CE"/>
        <family val="0"/>
      </rPr>
      <t>PRÍSTAVBA</t>
    </r>
  </si>
  <si>
    <t>Vzdelávacie poukazy-prevádz.výdavky</t>
  </si>
  <si>
    <t>výdavky (z vlastného príjmu za jedlo od zamestnancov, ostatných, dôchodcov) na mzdy, odvody, tovary a služby, energie</t>
  </si>
  <si>
    <t>Dokúpenie technolog. vybavenia jedálne ZŠ</t>
  </si>
  <si>
    <t>všeobecný materiál, tovary a služby, údržba trávnika, umelého + petangového ihriska</t>
  </si>
  <si>
    <t xml:space="preserve">          Pošta,lekáreň,starý OcÚ</t>
  </si>
  <si>
    <r>
      <t>IOM správne poplatky</t>
    </r>
    <r>
      <rPr>
        <sz val="6"/>
        <rFont val="Arial CE"/>
        <family val="0"/>
      </rPr>
      <t xml:space="preserve"> (456002 25 = 2,00 €)</t>
    </r>
  </si>
  <si>
    <r>
      <t xml:space="preserve">IOM správne poplatky </t>
    </r>
    <r>
      <rPr>
        <sz val="6"/>
        <rFont val="Arial CE"/>
        <family val="0"/>
      </rPr>
      <t>(819005 = 2,00 €)</t>
    </r>
  </si>
  <si>
    <t xml:space="preserve"> o 50% viac</t>
  </si>
  <si>
    <t>tovary a služby, energie - prevádzka ŠJ</t>
  </si>
  <si>
    <t>Program 1: Plánovanie, manažm. a kontrola</t>
  </si>
  <si>
    <t>prog. 2 - Revitalizácia budovy OcÚ-spoluúčasť</t>
  </si>
  <si>
    <t>z príjmu za hrobové miesta</t>
  </si>
  <si>
    <t>Verejný poriadok  a bezpečnosť inde neklasifik.</t>
  </si>
  <si>
    <t>prog. 5 - Traktorová kosačka</t>
  </si>
  <si>
    <t>Kapitálové výdavky spolu obecné</t>
  </si>
  <si>
    <t>Žiadosti o dotácie na rok 2024</t>
  </si>
  <si>
    <t xml:space="preserve"> - Základná organizácia Jednoty dôchodcov na Slovensku</t>
  </si>
  <si>
    <t>relaxačný a regeneračný pobyt v kúpeľoch; divadelné predstavenia; návštevy kultúrnych pamiatok; na dopravu;</t>
  </si>
  <si>
    <t xml:space="preserve"> - Obvodná organizácia Slovenského rybárskeho zväzu Plavecký Štvrtok - Láb</t>
  </si>
  <si>
    <t>2000,00 € - zakúpenie prenosného plávajúceho čerpadla a príslušenstvo; 500,00 € - starostlivosť o rybárske revíry; 500,00 € - organizácia rybárskych pretekov pre deti, mládež a ženy</t>
  </si>
  <si>
    <t xml:space="preserve"> - Občianske združenie Move &amp; Think</t>
  </si>
  <si>
    <t>príloha C - plán rozvoja a činnosti a príloha D - plán podujatí</t>
  </si>
  <si>
    <t>Platné ceny pre rok 2023 na prehliadky vozidiel DHZ:</t>
  </si>
  <si>
    <r>
      <t>           </t>
    </r>
    <r>
      <rPr>
        <b/>
        <sz val="10"/>
        <color indexed="29"/>
        <rFont val="Times New Roman"/>
        <family val="1"/>
      </rPr>
      <t xml:space="preserve">     III. periodická prehliadka   593,74 € s dph           rozsah práce 4,5 hodiny</t>
    </r>
  </si>
  <si>
    <t>údržba zariadenia, čistenie šácht, opravy, pohotovosť, havarijné stavy ČOV..</t>
  </si>
  <si>
    <t>odber a likvidácia kalov z ČOV (odvodnenie kalov Green Eko a FCC)</t>
  </si>
  <si>
    <t>Obvodná organizácia Slovenského rybárskeho zväzu Pl.Štvrrtok-Láb</t>
  </si>
  <si>
    <t>DOTÁCIE SPOLU</t>
  </si>
  <si>
    <t>Kapitál.výdavky - modernizácia budovy na ihrisku + revitalizácia trávnika hracej plochy + mobilné kontajnery + klimatizácia + dokončenie modernizácie (042 994)</t>
  </si>
  <si>
    <t>32</t>
  </si>
  <si>
    <t>predpis 2023</t>
  </si>
  <si>
    <t>spolu</t>
  </si>
  <si>
    <t>zvýšenie predpisu</t>
  </si>
  <si>
    <t>nedoplatky</t>
  </si>
  <si>
    <t>nedopl.minul.období</t>
  </si>
  <si>
    <t>spolu predpis 2023 + nedopl.</t>
  </si>
  <si>
    <t>pozemky (62%)</t>
  </si>
  <si>
    <t>stavby (38%)</t>
  </si>
  <si>
    <t xml:space="preserve">    - z pozemkov (vrátane nedoplatkov minul. období)</t>
  </si>
  <si>
    <t xml:space="preserve">    - zo stavieb (vrátane nedoplatkov minul. období)</t>
  </si>
  <si>
    <t>Kapitálové výdavky spolu celkom</t>
  </si>
  <si>
    <t>Kapitálové výdavky z dotácií</t>
  </si>
  <si>
    <t>navýšenie o 12805,00 €</t>
  </si>
  <si>
    <t>navýšenie o 3460,00 €</t>
  </si>
  <si>
    <t>navýšenie o 9258,00 €</t>
  </si>
  <si>
    <t>navýšenie o 3188,00 €</t>
  </si>
  <si>
    <t>navýšenie o 1267,00 €</t>
  </si>
  <si>
    <t>navýšenie o 263,00 €</t>
  </si>
  <si>
    <t>navýšenie o 2864,00 €</t>
  </si>
  <si>
    <t>navýšenie o 1221,00 €</t>
  </si>
  <si>
    <t>podielové dane znížené o 10%</t>
  </si>
  <si>
    <r>
      <t xml:space="preserve">MŠ ŠJ - príjem za potraviny od rodičov - </t>
    </r>
    <r>
      <rPr>
        <sz val="9"/>
        <color indexed="10"/>
        <rFont val="Arial CE"/>
        <family val="0"/>
      </rPr>
      <t>prístavba</t>
    </r>
  </si>
  <si>
    <r>
      <t xml:space="preserve">MŠ ŠJ - príjem od rodičov za obedy (réžia) - </t>
    </r>
    <r>
      <rPr>
        <sz val="9"/>
        <color indexed="10"/>
        <rFont val="Arial CE"/>
        <family val="0"/>
      </rPr>
      <t>prístavba</t>
    </r>
  </si>
  <si>
    <r>
      <t xml:space="preserve">MŠ - príjem od rodičov (poplatky za MŠ) - </t>
    </r>
    <r>
      <rPr>
        <sz val="9"/>
        <color indexed="10"/>
        <rFont val="Arial CE"/>
        <family val="0"/>
      </rPr>
      <t>prístavba</t>
    </r>
  </si>
  <si>
    <t>MŠ - príjem od rodičov (poplatky za MŠ) 30 € mesačne</t>
  </si>
  <si>
    <t>ZŠ ŠKD - príjem od rodičov (poplatky za ŠKD) 20 € mesačne</t>
  </si>
  <si>
    <t>ZŠ - ostatné príjmy (ŠJ - termoboxy, dobropis...)</t>
  </si>
  <si>
    <t xml:space="preserve"> - Nadácia EPH - na rekonštrukciu hlavnej prečerpávačky</t>
  </si>
  <si>
    <t>všeob.služby: revízie, prenájom kopírok, GDPR-zodp.osoba, služba odchyt psov, revízie dymovodov, hasiacich prístrojov, práce technika PO a BOZP...</t>
  </si>
  <si>
    <t>z MAS Dolné Záhorie v roku 2027.</t>
  </si>
  <si>
    <r>
      <t xml:space="preserve">mzdy, platy a ostatné osobné vyrovnania </t>
    </r>
    <r>
      <rPr>
        <sz val="9"/>
        <rFont val="Arial CE"/>
        <family val="0"/>
      </rPr>
      <t>(starosta, hl.kontrolór, 4 referentky)</t>
    </r>
  </si>
  <si>
    <t>prebieha nové prejednávanie pokuty, sumu nevieme</t>
  </si>
  <si>
    <t>pokazeny motor na starej trakt.kosačke</t>
  </si>
  <si>
    <t>Odstránenie nedostatkov po revíziách bleskozvodov, opravy bleskozvodov</t>
  </si>
  <si>
    <r>
      <t xml:space="preserve">Rekonštrukcia a modernizácia budovy Obecného úradu </t>
    </r>
    <r>
      <rPr>
        <sz val="9"/>
        <rFont val="Arial CE"/>
        <family val="0"/>
      </rPr>
      <t>(napr. vstupné dvere)</t>
    </r>
  </si>
  <si>
    <t>Činnosť matriky /zo ŠR/</t>
  </si>
  <si>
    <t>Evidencia obyvateľstva-REGOB /zo ŠR/</t>
  </si>
  <si>
    <t>odvoz a likvidácia odpadu (FCC)-zmesový komunál.odpad, objemný, kuchynský, kaly, veľkoobjemný, psie exkrementy...  **</t>
  </si>
  <si>
    <t xml:space="preserve"> **</t>
  </si>
  <si>
    <t>Do ročného výkazu o komunálnom odpade sa započítavajú všetky skutočné výdavky na likvidáciu odpadov - tzn. aj mzdy pracovníkov, PHM traktora, oprava a údržba traktora, materiál....</t>
  </si>
  <si>
    <t>chýba na výtlky ciest</t>
  </si>
  <si>
    <t>Výstavba a rekonštrukcia chodníkov</t>
  </si>
  <si>
    <t>zvážiť zmenu VZN poplatky rodičov</t>
  </si>
  <si>
    <t xml:space="preserve">IV.Period.prehliadka 1110,60€ s dph   </t>
  </si>
  <si>
    <t>Poplatok za vypúšťanie odpadových vôd</t>
  </si>
  <si>
    <t>traktorová kosačka - obecné</t>
  </si>
  <si>
    <t xml:space="preserve">traktorová kosačka - z príspevku Envirofondu za úroveň vytriedenia KO a BRKO </t>
  </si>
  <si>
    <t>V roku 2024 obec zrealizuje a uhradí výstavbu a rekonštrukciu chodníkov z vlastných finančných prostriedkov, predpokladaný termín refundácie</t>
  </si>
  <si>
    <t>bude potrebné volať drtičku a kontajnery</t>
  </si>
  <si>
    <t>materiál (kancel.potreby, hygienické potreby, tabuľky s orient.číslami, súpisn.č., tabuľky s názvami ulíc, reklamné tabule...)</t>
  </si>
  <si>
    <t>Úprava rozpočtového hospodárenia/ Mimorozp. položky  +/-</t>
  </si>
  <si>
    <t>Finančné príjmy ostatné/ zapoj. príjmu z poplatku za rozvoj</t>
  </si>
  <si>
    <t>Zapojenie do príjmov zostatok z predch. obdobia - referendum</t>
  </si>
  <si>
    <t>Zostatok z predch. roka - príspevok za úroveň vytriedenia odpadov KO a BRKO</t>
  </si>
  <si>
    <t>Refundácia MAS Dolné Záhorie - chodníky</t>
  </si>
  <si>
    <t>MŠ a ZŠ zost. z predchádzajúceho roka - stravné</t>
  </si>
  <si>
    <t>MV SR zostatok z predch. roka - príspevok na ubytovanie UA</t>
  </si>
  <si>
    <t>Príjem z peňažných fondov obce / Rezervný fond</t>
  </si>
  <si>
    <t>Vylúčenie z prebytku (zost. normatívu ZŠ + ŠJ + dotácia na stravu)</t>
  </si>
  <si>
    <t>spolu celkom</t>
  </si>
  <si>
    <r>
      <t xml:space="preserve"> </t>
    </r>
    <r>
      <rPr>
        <sz val="6"/>
        <rFont val="Calibri"/>
        <family val="2"/>
      </rPr>
      <t xml:space="preserve">Ø </t>
    </r>
    <r>
      <rPr>
        <sz val="6"/>
        <rFont val="Arial"/>
        <family val="2"/>
      </rPr>
      <t>o 80% viac</t>
    </r>
  </si>
  <si>
    <t>Súťaže, prac.odev, školenia, odmeny, pilčíci, asist.služby, psychotesty</t>
  </si>
  <si>
    <t xml:space="preserve">navýšenie o 5320,00 € </t>
  </si>
  <si>
    <t>13500,00 € - poplatky SFZ, prestupy hráčov, trénerske kurzy, turnaje; 7000,00 € - športové a tréningové pomôcky; 9500,00 € - prevádzkové náklady - údržba hracej plochy a kosačky...</t>
  </si>
  <si>
    <t>Návrh rozpočtu Obce Láb na roky 2024-2026 bol zverejnený na úradnej tabuli obce dňa 28.11.2023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</si>
</sst>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.00\ [$€-1]"/>
    <numFmt numFmtId="191" formatCode="#,##0.0"/>
    <numFmt numFmtId="192" formatCode="[$-41B]d\.\ mmmm\ yyyy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_-* #,##0.00\ [$€-1]_-;\-* #,##0.00\ [$€-1]_-;_-* &quot;-&quot;??\ [$€-1]_-;_-@_-"/>
    <numFmt numFmtId="197" formatCode="0.0000"/>
    <numFmt numFmtId="198" formatCode="0.0000000"/>
    <numFmt numFmtId="199" formatCode="\P\r\a\vd\a;&quot;Pravda&quot;;&quot;Nepravda&quot;"/>
    <numFmt numFmtId="200" formatCode="[$€-2]\ #\ ##,000_);[Red]\([$¥€-2]\ #\ ##,000\)"/>
    <numFmt numFmtId="201" formatCode="#,##0.00\ &quot;€&quot;"/>
    <numFmt numFmtId="202" formatCode="#,##0.0000"/>
  </numFmts>
  <fonts count="1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Tahoma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color indexed="8"/>
      <name val="Arial CE"/>
      <family val="2"/>
    </font>
    <font>
      <sz val="7.5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 CE"/>
      <family val="2"/>
    </font>
    <font>
      <b/>
      <sz val="7"/>
      <color indexed="8"/>
      <name val="Arial CE"/>
      <family val="2"/>
    </font>
    <font>
      <b/>
      <sz val="7"/>
      <color indexed="10"/>
      <name val="Arial"/>
      <family val="2"/>
    </font>
    <font>
      <i/>
      <sz val="7"/>
      <color indexed="10"/>
      <name val="Arial"/>
      <family val="2"/>
    </font>
    <font>
      <b/>
      <i/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Tahoma"/>
      <family val="2"/>
    </font>
    <font>
      <b/>
      <i/>
      <sz val="9"/>
      <name val="Arial CE"/>
      <family val="2"/>
    </font>
    <font>
      <sz val="6"/>
      <name val="Arial"/>
      <family val="2"/>
    </font>
    <font>
      <b/>
      <sz val="7.5"/>
      <name val="Arial CE"/>
      <family val="2"/>
    </font>
    <font>
      <sz val="9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Arial"/>
      <family val="2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7"/>
      <name val="Calibri"/>
      <family val="2"/>
    </font>
    <font>
      <b/>
      <sz val="13"/>
      <color indexed="12"/>
      <name val="Tahoma"/>
      <family val="2"/>
    </font>
    <font>
      <strike/>
      <sz val="8"/>
      <name val="Calibri Light"/>
      <family val="2"/>
    </font>
    <font>
      <strike/>
      <sz val="10"/>
      <name val="Calibri Light"/>
      <family val="2"/>
    </font>
    <font>
      <strike/>
      <sz val="7"/>
      <name val="Calibri Light"/>
      <family val="2"/>
    </font>
    <font>
      <b/>
      <i/>
      <strike/>
      <sz val="7"/>
      <name val="Calibri Light"/>
      <family val="2"/>
    </font>
    <font>
      <sz val="8"/>
      <name val="Open Sans"/>
      <family val="2"/>
    </font>
    <font>
      <b/>
      <sz val="8"/>
      <name val="Open Sans"/>
      <family val="2"/>
    </font>
    <font>
      <b/>
      <i/>
      <sz val="8"/>
      <name val="Arial"/>
      <family val="2"/>
    </font>
    <font>
      <i/>
      <sz val="9"/>
      <name val="Arial CE"/>
      <family val="2"/>
    </font>
    <font>
      <sz val="9"/>
      <color indexed="10"/>
      <name val="Arial CE"/>
      <family val="0"/>
    </font>
    <font>
      <sz val="9"/>
      <color indexed="8"/>
      <name val="Arial CE"/>
      <family val="0"/>
    </font>
    <font>
      <strike/>
      <sz val="9"/>
      <name val="Arial CE"/>
      <family val="0"/>
    </font>
    <font>
      <b/>
      <sz val="9"/>
      <color indexed="10"/>
      <name val="Arial CE"/>
      <family val="0"/>
    </font>
    <font>
      <b/>
      <i/>
      <sz val="9"/>
      <color indexed="10"/>
      <name val="Arial CE"/>
      <family val="0"/>
    </font>
    <font>
      <b/>
      <i/>
      <sz val="9"/>
      <name val="Arial"/>
      <family val="2"/>
    </font>
    <font>
      <b/>
      <sz val="11"/>
      <color indexed="12"/>
      <name val="Calibri Light"/>
      <family val="2"/>
    </font>
    <font>
      <sz val="10"/>
      <name val="Calibri Light"/>
      <family val="2"/>
    </font>
    <font>
      <b/>
      <sz val="10"/>
      <color indexed="29"/>
      <name val="Times New Roman"/>
      <family val="1"/>
    </font>
    <font>
      <b/>
      <i/>
      <sz val="8"/>
      <color indexed="12"/>
      <name val="Times New Roman"/>
      <family val="1"/>
    </font>
    <font>
      <b/>
      <i/>
      <sz val="8"/>
      <name val="Times New Roman"/>
      <family val="1"/>
    </font>
    <font>
      <sz val="6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sz val="18"/>
      <color indexed="54"/>
      <name val="Calibri Light"/>
      <family val="2"/>
    </font>
    <font>
      <sz val="18"/>
      <color indexed="10"/>
      <name val="Arial"/>
      <family val="2"/>
    </font>
    <font>
      <sz val="8"/>
      <color indexed="8"/>
      <name val="Arial CE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63"/>
      <name val="Times New Roman"/>
      <family val="1"/>
    </font>
    <font>
      <b/>
      <sz val="8"/>
      <color indexed="29"/>
      <name val="Times New Roman"/>
      <family val="1"/>
    </font>
    <font>
      <b/>
      <sz val="6"/>
      <color indexed="29"/>
      <name val="Times New Roman"/>
      <family val="1"/>
    </font>
    <font>
      <b/>
      <i/>
      <sz val="8"/>
      <color indexed="53"/>
      <name val="Times New Roman"/>
      <family val="1"/>
    </font>
    <font>
      <b/>
      <i/>
      <sz val="8"/>
      <color indexed="62"/>
      <name val="Times New Roman"/>
      <family val="1"/>
    </font>
    <font>
      <b/>
      <sz val="8"/>
      <color indexed="63"/>
      <name val="Open Sans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i/>
      <sz val="9"/>
      <color indexed="8"/>
      <name val="Arial"/>
      <family val="2"/>
    </font>
    <font>
      <b/>
      <sz val="11"/>
      <color indexed="10"/>
      <name val="Calibri Light"/>
      <family val="2"/>
    </font>
    <font>
      <b/>
      <sz val="6"/>
      <name val="Arial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 CE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201F1E"/>
      <name val="Times New Roman"/>
      <family val="1"/>
    </font>
    <font>
      <b/>
      <sz val="10"/>
      <color rgb="FFED5C57"/>
      <name val="Times New Roman"/>
      <family val="1"/>
    </font>
    <font>
      <b/>
      <i/>
      <sz val="9"/>
      <color rgb="FFFF0000"/>
      <name val="Arial CE"/>
      <family val="2"/>
    </font>
    <font>
      <b/>
      <sz val="8"/>
      <color rgb="FFED5C57"/>
      <name val="Times New Roman"/>
      <family val="1"/>
    </font>
    <font>
      <b/>
      <sz val="6"/>
      <color rgb="FFED5C57"/>
      <name val="Times New Roman"/>
      <family val="1"/>
    </font>
    <font>
      <b/>
      <i/>
      <sz val="8"/>
      <color theme="5" tint="-0.24997000396251678"/>
      <name val="Times New Roman"/>
      <family val="1"/>
    </font>
    <font>
      <b/>
      <i/>
      <sz val="8"/>
      <color theme="8"/>
      <name val="Times New Roman"/>
      <family val="1"/>
    </font>
    <font>
      <b/>
      <sz val="8"/>
      <color rgb="FF494949"/>
      <name val="Open Sans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Calibri Light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99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medium"/>
      <right style="medium"/>
      <top style="mediumDashed"/>
      <bottom style="mediumDashed"/>
    </border>
    <border>
      <left style="mediumDashed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medium"/>
      <top style="mediumDashed"/>
      <bottom style="thin"/>
    </border>
    <border>
      <left style="mediumDashed"/>
      <right style="thin"/>
      <top>
        <color indexed="63"/>
      </top>
      <bottom style="thin"/>
    </border>
    <border>
      <left style="mediumDashed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22" fillId="31" borderId="0" applyNumberFormat="0" applyBorder="0" applyAlignment="0" applyProtection="0"/>
    <xf numFmtId="0" fontId="122" fillId="32" borderId="0" applyNumberFormat="0" applyBorder="0" applyAlignment="0" applyProtection="0"/>
    <xf numFmtId="0" fontId="122" fillId="33" borderId="0" applyNumberFormat="0" applyBorder="0" applyAlignment="0" applyProtection="0"/>
    <xf numFmtId="0" fontId="3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6" borderId="6" applyNumberFormat="0" applyFont="0" applyAlignment="0" applyProtection="0"/>
    <xf numFmtId="0" fontId="13" fillId="0" borderId="7" applyNumberFormat="0" applyFill="0" applyAlignment="0" applyProtection="0"/>
    <xf numFmtId="0" fontId="1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122" fillId="45" borderId="0" applyNumberFormat="0" applyBorder="0" applyAlignment="0" applyProtection="0"/>
    <xf numFmtId="0" fontId="122" fillId="46" borderId="0" applyNumberFormat="0" applyBorder="0" applyAlignment="0" applyProtection="0"/>
    <xf numFmtId="0" fontId="122" fillId="47" borderId="0" applyNumberFormat="0" applyBorder="0" applyAlignment="0" applyProtection="0"/>
    <xf numFmtId="0" fontId="122" fillId="48" borderId="0" applyNumberFormat="0" applyBorder="0" applyAlignment="0" applyProtection="0"/>
  </cellStyleXfs>
  <cellXfs count="1567">
    <xf numFmtId="0" fontId="0" fillId="0" borderId="0" xfId="0" applyAlignment="1">
      <alignment/>
    </xf>
    <xf numFmtId="49" fontId="20" fillId="0" borderId="0" xfId="0" applyNumberFormat="1" applyFont="1" applyBorder="1" applyAlignment="1">
      <alignment vertical="center"/>
    </xf>
    <xf numFmtId="49" fontId="25" fillId="36" borderId="1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36" borderId="12" xfId="0" applyFont="1" applyFill="1" applyBorder="1" applyAlignment="1">
      <alignment horizontal="center"/>
    </xf>
    <xf numFmtId="49" fontId="26" fillId="36" borderId="13" xfId="0" applyNumberFormat="1" applyFont="1" applyFill="1" applyBorder="1" applyAlignment="1">
      <alignment horizontal="center"/>
    </xf>
    <xf numFmtId="49" fontId="22" fillId="36" borderId="13" xfId="0" applyNumberFormat="1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0" fontId="42" fillId="0" borderId="0" xfId="0" applyFont="1" applyAlignment="1">
      <alignment/>
    </xf>
    <xf numFmtId="0" fontId="23" fillId="49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2" fillId="36" borderId="15" xfId="0" applyFont="1" applyFill="1" applyBorder="1" applyAlignment="1">
      <alignment horizontal="center"/>
    </xf>
    <xf numFmtId="49" fontId="26" fillId="36" borderId="16" xfId="0" applyNumberFormat="1" applyFont="1" applyFill="1" applyBorder="1" applyAlignment="1">
      <alignment horizontal="center"/>
    </xf>
    <xf numFmtId="49" fontId="22" fillId="36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49" fontId="30" fillId="35" borderId="17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90" fontId="37" fillId="0" borderId="0" xfId="0" applyNumberFormat="1" applyFont="1" applyFill="1" applyBorder="1" applyAlignment="1">
      <alignment/>
    </xf>
    <xf numFmtId="190" fontId="32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2" fillId="0" borderId="0" xfId="0" applyFont="1" applyAlignment="1">
      <alignment/>
    </xf>
    <xf numFmtId="49" fontId="28" fillId="36" borderId="18" xfId="0" applyNumberFormat="1" applyFont="1" applyFill="1" applyBorder="1" applyAlignment="1">
      <alignment horizontal="center" textRotation="90"/>
    </xf>
    <xf numFmtId="49" fontId="28" fillId="36" borderId="19" xfId="0" applyNumberFormat="1" applyFont="1" applyFill="1" applyBorder="1" applyAlignment="1">
      <alignment horizontal="center" textRotation="90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3" fontId="22" fillId="50" borderId="20" xfId="0" applyNumberFormat="1" applyFont="1" applyFill="1" applyBorder="1" applyAlignment="1">
      <alignment horizontal="center"/>
    </xf>
    <xf numFmtId="0" fontId="22" fillId="50" borderId="21" xfId="0" applyFont="1" applyFill="1" applyBorder="1" applyAlignment="1">
      <alignment horizontal="center"/>
    </xf>
    <xf numFmtId="49" fontId="22" fillId="50" borderId="21" xfId="0" applyNumberFormat="1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49" fontId="30" fillId="36" borderId="16" xfId="0" applyNumberFormat="1" applyFont="1" applyFill="1" applyBorder="1" applyAlignment="1">
      <alignment horizontal="center"/>
    </xf>
    <xf numFmtId="49" fontId="31" fillId="36" borderId="16" xfId="0" applyNumberFormat="1" applyFont="1" applyFill="1" applyBorder="1" applyAlignment="1">
      <alignment horizontal="center"/>
    </xf>
    <xf numFmtId="0" fontId="28" fillId="36" borderId="22" xfId="0" applyFont="1" applyFill="1" applyBorder="1" applyAlignment="1">
      <alignment/>
    </xf>
    <xf numFmtId="0" fontId="39" fillId="36" borderId="23" xfId="0" applyFont="1" applyFill="1" applyBorder="1" applyAlignment="1">
      <alignment horizontal="center"/>
    </xf>
    <xf numFmtId="0" fontId="28" fillId="49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28" fillId="49" borderId="0" xfId="0" applyFont="1" applyFill="1" applyBorder="1" applyAlignment="1">
      <alignment horizontal="center"/>
    </xf>
    <xf numFmtId="49" fontId="28" fillId="49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90" fontId="32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3" fontId="22" fillId="50" borderId="20" xfId="0" applyNumberFormat="1" applyFont="1" applyFill="1" applyBorder="1" applyAlignment="1">
      <alignment horizontal="center"/>
    </xf>
    <xf numFmtId="3" fontId="22" fillId="23" borderId="20" xfId="0" applyNumberFormat="1" applyFont="1" applyFill="1" applyBorder="1" applyAlignment="1">
      <alignment horizontal="center"/>
    </xf>
    <xf numFmtId="0" fontId="22" fillId="23" borderId="21" xfId="0" applyFont="1" applyFill="1" applyBorder="1" applyAlignment="1">
      <alignment horizontal="center"/>
    </xf>
    <xf numFmtId="0" fontId="34" fillId="23" borderId="21" xfId="0" applyFont="1" applyFill="1" applyBorder="1" applyAlignment="1">
      <alignment horizontal="center"/>
    </xf>
    <xf numFmtId="49" fontId="34" fillId="50" borderId="21" xfId="0" applyNumberFormat="1" applyFont="1" applyFill="1" applyBorder="1" applyAlignment="1">
      <alignment horizontal="center"/>
    </xf>
    <xf numFmtId="49" fontId="22" fillId="23" borderId="24" xfId="0" applyNumberFormat="1" applyFont="1" applyFill="1" applyBorder="1" applyAlignment="1">
      <alignment horizontal="center"/>
    </xf>
    <xf numFmtId="49" fontId="22" fillId="50" borderId="24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26" fillId="14" borderId="25" xfId="0" applyFont="1" applyFill="1" applyBorder="1" applyAlignment="1">
      <alignment horizontal="center" vertical="center"/>
    </xf>
    <xf numFmtId="49" fontId="26" fillId="35" borderId="26" xfId="0" applyNumberFormat="1" applyFont="1" applyFill="1" applyBorder="1" applyAlignment="1">
      <alignment horizontal="center" vertical="center"/>
    </xf>
    <xf numFmtId="4" fontId="22" fillId="35" borderId="27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/>
    </xf>
    <xf numFmtId="4" fontId="23" fillId="0" borderId="29" xfId="0" applyNumberFormat="1" applyFont="1" applyFill="1" applyBorder="1" applyAlignment="1">
      <alignment horizontal="right" vertical="center"/>
    </xf>
    <xf numFmtId="0" fontId="26" fillId="14" borderId="26" xfId="0" applyFont="1" applyFill="1" applyBorder="1" applyAlignment="1">
      <alignment horizontal="center" vertical="center"/>
    </xf>
    <xf numFmtId="49" fontId="26" fillId="35" borderId="11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/>
    </xf>
    <xf numFmtId="4" fontId="23" fillId="49" borderId="27" xfId="0" applyNumberFormat="1" applyFont="1" applyFill="1" applyBorder="1" applyAlignment="1">
      <alignment horizontal="right" vertical="center"/>
    </xf>
    <xf numFmtId="4" fontId="22" fillId="14" borderId="27" xfId="0" applyNumberFormat="1" applyFont="1" applyFill="1" applyBorder="1" applyAlignment="1">
      <alignment horizontal="right" vertical="center"/>
    </xf>
    <xf numFmtId="0" fontId="23" fillId="36" borderId="22" xfId="0" applyFont="1" applyFill="1" applyBorder="1" applyAlignment="1">
      <alignment/>
    </xf>
    <xf numFmtId="4" fontId="26" fillId="7" borderId="24" xfId="0" applyNumberFormat="1" applyFont="1" applyFill="1" applyBorder="1" applyAlignment="1">
      <alignment horizontal="right" vertical="center"/>
    </xf>
    <xf numFmtId="0" fontId="53" fillId="36" borderId="15" xfId="0" applyFont="1" applyFill="1" applyBorder="1" applyAlignment="1">
      <alignment horizontal="center" vertical="center"/>
    </xf>
    <xf numFmtId="49" fontId="54" fillId="36" borderId="16" xfId="0" applyNumberFormat="1" applyFont="1" applyFill="1" applyBorder="1" applyAlignment="1">
      <alignment horizontal="center" vertical="center"/>
    </xf>
    <xf numFmtId="49" fontId="55" fillId="36" borderId="16" xfId="0" applyNumberFormat="1" applyFont="1" applyFill="1" applyBorder="1" applyAlignment="1">
      <alignment horizontal="center" vertical="center"/>
    </xf>
    <xf numFmtId="49" fontId="30" fillId="35" borderId="26" xfId="0" applyNumberFormat="1" applyFont="1" applyFill="1" applyBorder="1" applyAlignment="1">
      <alignment horizontal="center" vertical="center"/>
    </xf>
    <xf numFmtId="4" fontId="23" fillId="49" borderId="29" xfId="0" applyNumberFormat="1" applyFont="1" applyFill="1" applyBorder="1" applyAlignment="1">
      <alignment horizontal="right" vertical="center"/>
    </xf>
    <xf numFmtId="190" fontId="3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7" fillId="14" borderId="31" xfId="0" applyNumberFormat="1" applyFont="1" applyFill="1" applyBorder="1" applyAlignment="1">
      <alignment vertical="center"/>
    </xf>
    <xf numFmtId="4" fontId="62" fillId="7" borderId="32" xfId="0" applyNumberFormat="1" applyFont="1" applyFill="1" applyBorder="1" applyAlignment="1">
      <alignment horizontal="right" vertical="center"/>
    </xf>
    <xf numFmtId="4" fontId="62" fillId="35" borderId="31" xfId="0" applyNumberFormat="1" applyFont="1" applyFill="1" applyBorder="1" applyAlignment="1">
      <alignment horizontal="right" vertical="center"/>
    </xf>
    <xf numFmtId="0" fontId="62" fillId="14" borderId="33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3" fontId="22" fillId="51" borderId="20" xfId="0" applyNumberFormat="1" applyFont="1" applyFill="1" applyBorder="1" applyAlignment="1">
      <alignment horizontal="center"/>
    </xf>
    <xf numFmtId="0" fontId="22" fillId="51" borderId="21" xfId="0" applyFont="1" applyFill="1" applyBorder="1" applyAlignment="1">
      <alignment horizontal="center"/>
    </xf>
    <xf numFmtId="49" fontId="34" fillId="51" borderId="21" xfId="0" applyNumberFormat="1" applyFont="1" applyFill="1" applyBorder="1" applyAlignment="1">
      <alignment horizontal="center"/>
    </xf>
    <xf numFmtId="49" fontId="22" fillId="51" borderId="2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22" fillId="51" borderId="24" xfId="0" applyNumberFormat="1" applyFont="1" applyFill="1" applyBorder="1" applyAlignment="1">
      <alignment horizontal="center"/>
    </xf>
    <xf numFmtId="3" fontId="22" fillId="23" borderId="20" xfId="0" applyNumberFormat="1" applyFont="1" applyFill="1" applyBorder="1" applyAlignment="1">
      <alignment horizontal="center"/>
    </xf>
    <xf numFmtId="49" fontId="34" fillId="23" borderId="21" xfId="0" applyNumberFormat="1" applyFont="1" applyFill="1" applyBorder="1" applyAlignment="1">
      <alignment horizontal="center"/>
    </xf>
    <xf numFmtId="0" fontId="22" fillId="50" borderId="21" xfId="0" applyFont="1" applyFill="1" applyBorder="1" applyAlignment="1">
      <alignment horizontal="center"/>
    </xf>
    <xf numFmtId="0" fontId="34" fillId="50" borderId="21" xfId="0" applyFont="1" applyFill="1" applyBorder="1" applyAlignment="1">
      <alignment horizontal="center"/>
    </xf>
    <xf numFmtId="3" fontId="64" fillId="46" borderId="20" xfId="0" applyNumberFormat="1" applyFont="1" applyFill="1" applyBorder="1" applyAlignment="1">
      <alignment horizontal="center"/>
    </xf>
    <xf numFmtId="3" fontId="22" fillId="46" borderId="20" xfId="0" applyNumberFormat="1" applyFont="1" applyFill="1" applyBorder="1" applyAlignment="1">
      <alignment horizontal="center"/>
    </xf>
    <xf numFmtId="0" fontId="34" fillId="46" borderId="21" xfId="0" applyFont="1" applyFill="1" applyBorder="1" applyAlignment="1">
      <alignment horizontal="center"/>
    </xf>
    <xf numFmtId="49" fontId="34" fillId="46" borderId="21" xfId="0" applyNumberFormat="1" applyFont="1" applyFill="1" applyBorder="1" applyAlignment="1">
      <alignment horizontal="center"/>
    </xf>
    <xf numFmtId="49" fontId="64" fillId="46" borderId="24" xfId="0" applyNumberFormat="1" applyFont="1" applyFill="1" applyBorder="1" applyAlignment="1">
      <alignment horizontal="center"/>
    </xf>
    <xf numFmtId="49" fontId="22" fillId="46" borderId="24" xfId="0" applyNumberFormat="1" applyFont="1" applyFill="1" applyBorder="1" applyAlignment="1">
      <alignment horizontal="center"/>
    </xf>
    <xf numFmtId="0" fontId="43" fillId="36" borderId="22" xfId="0" applyFont="1" applyFill="1" applyBorder="1" applyAlignment="1">
      <alignment vertical="center"/>
    </xf>
    <xf numFmtId="3" fontId="22" fillId="44" borderId="20" xfId="0" applyNumberFormat="1" applyFont="1" applyFill="1" applyBorder="1" applyAlignment="1">
      <alignment horizontal="center"/>
    </xf>
    <xf numFmtId="0" fontId="22" fillId="44" borderId="21" xfId="0" applyFont="1" applyFill="1" applyBorder="1" applyAlignment="1">
      <alignment horizontal="center"/>
    </xf>
    <xf numFmtId="49" fontId="34" fillId="44" borderId="21" xfId="0" applyNumberFormat="1" applyFont="1" applyFill="1" applyBorder="1" applyAlignment="1">
      <alignment horizontal="center"/>
    </xf>
    <xf numFmtId="49" fontId="22" fillId="44" borderId="21" xfId="0" applyNumberFormat="1" applyFont="1" applyFill="1" applyBorder="1" applyAlignment="1">
      <alignment horizontal="center"/>
    </xf>
    <xf numFmtId="49" fontId="22" fillId="44" borderId="24" xfId="0" applyNumberFormat="1" applyFont="1" applyFill="1" applyBorder="1" applyAlignment="1">
      <alignment horizontal="center"/>
    </xf>
    <xf numFmtId="3" fontId="64" fillId="44" borderId="20" xfId="0" applyNumberFormat="1" applyFont="1" applyFill="1" applyBorder="1" applyAlignment="1">
      <alignment horizontal="center"/>
    </xf>
    <xf numFmtId="0" fontId="64" fillId="44" borderId="21" xfId="0" applyFont="1" applyFill="1" applyBorder="1" applyAlignment="1">
      <alignment horizontal="center"/>
    </xf>
    <xf numFmtId="0" fontId="34" fillId="44" borderId="21" xfId="0" applyFont="1" applyFill="1" applyBorder="1" applyAlignment="1">
      <alignment horizontal="center"/>
    </xf>
    <xf numFmtId="49" fontId="64" fillId="44" borderId="2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65" fillId="0" borderId="31" xfId="0" applyNumberFormat="1" applyFont="1" applyFill="1" applyBorder="1" applyAlignment="1">
      <alignment horizontal="right" vertical="center"/>
    </xf>
    <xf numFmtId="4" fontId="65" fillId="0" borderId="29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65" fillId="0" borderId="34" xfId="0" applyNumberFormat="1" applyFont="1" applyFill="1" applyBorder="1" applyAlignment="1">
      <alignment horizontal="right" vertical="center"/>
    </xf>
    <xf numFmtId="0" fontId="23" fillId="36" borderId="35" xfId="0" applyFont="1" applyFill="1" applyBorder="1" applyAlignment="1">
      <alignment/>
    </xf>
    <xf numFmtId="4" fontId="23" fillId="49" borderId="0" xfId="0" applyNumberFormat="1" applyFont="1" applyFill="1" applyBorder="1" applyAlignment="1">
      <alignment horizontal="right" vertical="center"/>
    </xf>
    <xf numFmtId="0" fontId="128" fillId="0" borderId="0" xfId="0" applyFont="1" applyAlignment="1">
      <alignment/>
    </xf>
    <xf numFmtId="4" fontId="62" fillId="7" borderId="32" xfId="0" applyNumberFormat="1" applyFont="1" applyFill="1" applyBorder="1" applyAlignment="1">
      <alignment vertical="center"/>
    </xf>
    <xf numFmtId="4" fontId="27" fillId="35" borderId="27" xfId="0" applyNumberFormat="1" applyFont="1" applyFill="1" applyBorder="1" applyAlignment="1">
      <alignment horizontal="right" vertical="center"/>
    </xf>
    <xf numFmtId="4" fontId="27" fillId="14" borderId="29" xfId="0" applyNumberFormat="1" applyFont="1" applyFill="1" applyBorder="1" applyAlignment="1">
      <alignment vertical="center"/>
    </xf>
    <xf numFmtId="4" fontId="27" fillId="14" borderId="21" xfId="0" applyNumberFormat="1" applyFont="1" applyFill="1" applyBorder="1" applyAlignment="1">
      <alignment vertical="center"/>
    </xf>
    <xf numFmtId="4" fontId="27" fillId="35" borderId="29" xfId="0" applyNumberFormat="1" applyFont="1" applyFill="1" applyBorder="1" applyAlignment="1">
      <alignment horizontal="right" vertical="center"/>
    </xf>
    <xf numFmtId="4" fontId="27" fillId="35" borderId="31" xfId="0" applyNumberFormat="1" applyFont="1" applyFill="1" applyBorder="1" applyAlignment="1">
      <alignment horizontal="right" vertical="center"/>
    </xf>
    <xf numFmtId="4" fontId="27" fillId="14" borderId="27" xfId="0" applyNumberFormat="1" applyFont="1" applyFill="1" applyBorder="1" applyAlignment="1">
      <alignment vertical="center"/>
    </xf>
    <xf numFmtId="4" fontId="65" fillId="0" borderId="27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30" fillId="35" borderId="36" xfId="0" applyNumberFormat="1" applyFont="1" applyFill="1" applyBorder="1" applyAlignment="1">
      <alignment horizontal="center" vertical="center"/>
    </xf>
    <xf numFmtId="4" fontId="31" fillId="0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30" fillId="49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49" borderId="0" xfId="0" applyFont="1" applyFill="1" applyBorder="1" applyAlignment="1">
      <alignment vertical="center"/>
    </xf>
    <xf numFmtId="4" fontId="28" fillId="0" borderId="37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1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3" fillId="36" borderId="35" xfId="0" applyFont="1" applyFill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31" fillId="46" borderId="21" xfId="0" applyFont="1" applyFill="1" applyBorder="1" applyAlignment="1">
      <alignment horizontal="center"/>
    </xf>
    <xf numFmtId="2" fontId="32" fillId="0" borderId="0" xfId="0" applyNumberFormat="1" applyFont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4" fontId="129" fillId="0" borderId="0" xfId="0" applyNumberFormat="1" applyFont="1" applyAlignment="1">
      <alignment vertical="center" wrapText="1"/>
    </xf>
    <xf numFmtId="4" fontId="130" fillId="0" borderId="0" xfId="0" applyNumberFormat="1" applyFont="1" applyAlignment="1">
      <alignment horizontal="left" vertical="center"/>
    </xf>
    <xf numFmtId="4" fontId="23" fillId="11" borderId="27" xfId="0" applyNumberFormat="1" applyFont="1" applyFill="1" applyBorder="1" applyAlignment="1">
      <alignment horizontal="right" vertical="center"/>
    </xf>
    <xf numFmtId="4" fontId="38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49" fontId="26" fillId="35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4" fontId="25" fillId="0" borderId="0" xfId="0" applyNumberFormat="1" applyFont="1" applyFill="1" applyBorder="1" applyAlignment="1">
      <alignment horizontal="left" vertical="center"/>
    </xf>
    <xf numFmtId="0" fontId="68" fillId="0" borderId="0" xfId="0" applyFont="1" applyAlignment="1">
      <alignment/>
    </xf>
    <xf numFmtId="0" fontId="129" fillId="0" borderId="0" xfId="0" applyFont="1" applyAlignment="1">
      <alignment horizontal="right" vertical="center"/>
    </xf>
    <xf numFmtId="10" fontId="32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Alignment="1">
      <alignment horizontal="right" vertical="center"/>
    </xf>
    <xf numFmtId="4" fontId="39" fillId="0" borderId="0" xfId="0" applyNumberFormat="1" applyFont="1" applyAlignment="1">
      <alignment vertical="center" wrapText="1"/>
    </xf>
    <xf numFmtId="4" fontId="69" fillId="0" borderId="0" xfId="0" applyNumberFormat="1" applyFont="1" applyAlignment="1">
      <alignment vertical="center" wrapText="1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201" fontId="68" fillId="0" borderId="0" xfId="0" applyNumberFormat="1" applyFont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4" fontId="65" fillId="0" borderId="29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" fontId="32" fillId="0" borderId="0" xfId="0" applyNumberFormat="1" applyFont="1" applyFill="1" applyAlignment="1">
      <alignment/>
    </xf>
    <xf numFmtId="3" fontId="22" fillId="0" borderId="20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2" fillId="23" borderId="20" xfId="0" applyNumberFormat="1" applyFont="1" applyFill="1" applyBorder="1" applyAlignment="1">
      <alignment horizontal="center" vertical="center"/>
    </xf>
    <xf numFmtId="3" fontId="22" fillId="50" borderId="20" xfId="0" applyNumberFormat="1" applyFont="1" applyFill="1" applyBorder="1" applyAlignment="1">
      <alignment horizontal="center" vertical="center"/>
    </xf>
    <xf numFmtId="3" fontId="64" fillId="44" borderId="20" xfId="0" applyNumberFormat="1" applyFont="1" applyFill="1" applyBorder="1" applyAlignment="1">
      <alignment horizontal="center" vertical="center"/>
    </xf>
    <xf numFmtId="3" fontId="22" fillId="46" borderId="20" xfId="0" applyNumberFormat="1" applyFont="1" applyFill="1" applyBorder="1" applyAlignment="1">
      <alignment horizontal="center" vertical="center"/>
    </xf>
    <xf numFmtId="3" fontId="64" fillId="46" borderId="2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50" borderId="21" xfId="0" applyFont="1" applyFill="1" applyBorder="1" applyAlignment="1">
      <alignment horizontal="center" vertical="center"/>
    </xf>
    <xf numFmtId="0" fontId="64" fillId="44" borderId="21" xfId="0" applyFont="1" applyFill="1" applyBorder="1" applyAlignment="1">
      <alignment horizontal="center" vertical="center"/>
    </xf>
    <xf numFmtId="0" fontId="31" fillId="46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34" fillId="23" borderId="21" xfId="0" applyNumberFormat="1" applyFont="1" applyFill="1" applyBorder="1" applyAlignment="1">
      <alignment horizontal="center" vertical="center"/>
    </xf>
    <xf numFmtId="0" fontId="34" fillId="50" borderId="21" xfId="0" applyFont="1" applyFill="1" applyBorder="1" applyAlignment="1">
      <alignment horizontal="center" vertical="center"/>
    </xf>
    <xf numFmtId="49" fontId="34" fillId="50" borderId="21" xfId="0" applyNumberFormat="1" applyFont="1" applyFill="1" applyBorder="1" applyAlignment="1">
      <alignment horizontal="center" vertical="center"/>
    </xf>
    <xf numFmtId="0" fontId="34" fillId="44" borderId="21" xfId="0" applyFont="1" applyFill="1" applyBorder="1" applyAlignment="1">
      <alignment horizontal="center" vertical="center"/>
    </xf>
    <xf numFmtId="49" fontId="34" fillId="46" borderId="21" xfId="0" applyNumberFormat="1" applyFont="1" applyFill="1" applyBorder="1" applyAlignment="1">
      <alignment horizontal="center" vertical="center"/>
    </xf>
    <xf numFmtId="0" fontId="34" fillId="46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22" fillId="23" borderId="24" xfId="0" applyNumberFormat="1" applyFont="1" applyFill="1" applyBorder="1" applyAlignment="1">
      <alignment horizontal="center" vertical="center"/>
    </xf>
    <xf numFmtId="49" fontId="22" fillId="50" borderId="24" xfId="0" applyNumberFormat="1" applyFont="1" applyFill="1" applyBorder="1" applyAlignment="1">
      <alignment horizontal="center" vertical="center"/>
    </xf>
    <xf numFmtId="49" fontId="64" fillId="44" borderId="24" xfId="0" applyNumberFormat="1" applyFont="1" applyFill="1" applyBorder="1" applyAlignment="1">
      <alignment horizontal="center" vertical="center"/>
    </xf>
    <xf numFmtId="49" fontId="22" fillId="46" borderId="24" xfId="0" applyNumberFormat="1" applyFont="1" applyFill="1" applyBorder="1" applyAlignment="1">
      <alignment horizontal="center" vertical="center"/>
    </xf>
    <xf numFmtId="49" fontId="64" fillId="46" borderId="24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44" fillId="49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22" fillId="19" borderId="38" xfId="0" applyFont="1" applyFill="1" applyBorder="1" applyAlignment="1">
      <alignment vertical="center"/>
    </xf>
    <xf numFmtId="0" fontId="22" fillId="12" borderId="39" xfId="0" applyFont="1" applyFill="1" applyBorder="1" applyAlignment="1">
      <alignment vertical="center"/>
    </xf>
    <xf numFmtId="0" fontId="26" fillId="52" borderId="40" xfId="0" applyFont="1" applyFill="1" applyBorder="1" applyAlignment="1">
      <alignment vertical="center"/>
    </xf>
    <xf numFmtId="0" fontId="22" fillId="7" borderId="39" xfId="0" applyFont="1" applyFill="1" applyBorder="1" applyAlignment="1">
      <alignment vertical="center"/>
    </xf>
    <xf numFmtId="4" fontId="22" fillId="53" borderId="41" xfId="0" applyNumberFormat="1" applyFont="1" applyFill="1" applyBorder="1" applyAlignment="1">
      <alignment horizontal="right" vertical="center"/>
    </xf>
    <xf numFmtId="201" fontId="66" fillId="0" borderId="0" xfId="0" applyNumberFormat="1" applyFont="1" applyAlignment="1">
      <alignment vertical="center"/>
    </xf>
    <xf numFmtId="4" fontId="131" fillId="0" borderId="31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7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3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33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39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ont="1" applyFill="1" applyAlignment="1">
      <alignment/>
    </xf>
    <xf numFmtId="0" fontId="134" fillId="0" borderId="0" xfId="0" applyFont="1" applyFill="1" applyBorder="1" applyAlignment="1">
      <alignment vertical="center"/>
    </xf>
    <xf numFmtId="4" fontId="66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 horizontal="center"/>
    </xf>
    <xf numFmtId="190" fontId="32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28" fillId="52" borderId="36" xfId="0" applyFont="1" applyFill="1" applyBorder="1" applyAlignment="1">
      <alignment horizontal="center" vertical="center"/>
    </xf>
    <xf numFmtId="0" fontId="28" fillId="52" borderId="42" xfId="0" applyFont="1" applyFill="1" applyBorder="1" applyAlignment="1">
      <alignment horizontal="center" vertical="center"/>
    </xf>
    <xf numFmtId="0" fontId="28" fillId="52" borderId="43" xfId="0" applyFont="1" applyFill="1" applyBorder="1" applyAlignment="1">
      <alignment horizontal="center" vertical="center"/>
    </xf>
    <xf numFmtId="0" fontId="28" fillId="52" borderId="44" xfId="0" applyFont="1" applyFill="1" applyBorder="1" applyAlignment="1">
      <alignment horizontal="center" vertical="center"/>
    </xf>
    <xf numFmtId="0" fontId="28" fillId="52" borderId="45" xfId="0" applyFont="1" applyFill="1" applyBorder="1" applyAlignment="1">
      <alignment horizontal="center" vertical="center"/>
    </xf>
    <xf numFmtId="0" fontId="28" fillId="52" borderId="46" xfId="0" applyFont="1" applyFill="1" applyBorder="1" applyAlignment="1">
      <alignment horizontal="center" vertical="center"/>
    </xf>
    <xf numFmtId="1" fontId="28" fillId="52" borderId="42" xfId="0" applyNumberFormat="1" applyFont="1" applyFill="1" applyBorder="1" applyAlignment="1">
      <alignment horizontal="center" vertical="center"/>
    </xf>
    <xf numFmtId="1" fontId="28" fillId="52" borderId="47" xfId="0" applyNumberFormat="1" applyFont="1" applyFill="1" applyBorder="1" applyAlignment="1">
      <alignment horizontal="center" vertical="center"/>
    </xf>
    <xf numFmtId="1" fontId="28" fillId="52" borderId="44" xfId="0" applyNumberFormat="1" applyFont="1" applyFill="1" applyBorder="1" applyAlignment="1">
      <alignment horizontal="center" vertical="center"/>
    </xf>
    <xf numFmtId="1" fontId="28" fillId="52" borderId="45" xfId="0" applyNumberFormat="1" applyFont="1" applyFill="1" applyBorder="1" applyAlignment="1">
      <alignment horizontal="center" vertical="center"/>
    </xf>
    <xf numFmtId="1" fontId="28" fillId="52" borderId="46" xfId="0" applyNumberFormat="1" applyFont="1" applyFill="1" applyBorder="1" applyAlignment="1">
      <alignment horizontal="center" vertical="center"/>
    </xf>
    <xf numFmtId="1" fontId="28" fillId="52" borderId="36" xfId="0" applyNumberFormat="1" applyFont="1" applyFill="1" applyBorder="1" applyAlignment="1">
      <alignment horizontal="center" vertical="center"/>
    </xf>
    <xf numFmtId="1" fontId="28" fillId="52" borderId="43" xfId="0" applyNumberFormat="1" applyFont="1" applyFill="1" applyBorder="1" applyAlignment="1">
      <alignment horizontal="center" vertical="center"/>
    </xf>
    <xf numFmtId="1" fontId="28" fillId="52" borderId="23" xfId="0" applyNumberFormat="1" applyFont="1" applyFill="1" applyBorder="1" applyAlignment="1">
      <alignment horizontal="center" vertical="center"/>
    </xf>
    <xf numFmtId="0" fontId="28" fillId="52" borderId="48" xfId="0" applyFont="1" applyFill="1" applyBorder="1" applyAlignment="1">
      <alignment horizontal="center" vertical="center"/>
    </xf>
    <xf numFmtId="0" fontId="28" fillId="44" borderId="49" xfId="0" applyFont="1" applyFill="1" applyBorder="1" applyAlignment="1">
      <alignment horizontal="center" vertical="center"/>
    </xf>
    <xf numFmtId="1" fontId="28" fillId="52" borderId="49" xfId="0" applyNumberFormat="1" applyFont="1" applyFill="1" applyBorder="1" applyAlignment="1">
      <alignment horizontal="center" vertical="center"/>
    </xf>
    <xf numFmtId="1" fontId="28" fillId="3" borderId="36" xfId="0" applyNumberFormat="1" applyFont="1" applyFill="1" applyBorder="1" applyAlignment="1">
      <alignment horizontal="center" vertical="center"/>
    </xf>
    <xf numFmtId="49" fontId="79" fillId="0" borderId="0" xfId="0" applyNumberFormat="1" applyFont="1" applyBorder="1" applyAlignment="1">
      <alignment vertical="center"/>
    </xf>
    <xf numFmtId="202" fontId="28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36" borderId="23" xfId="0" applyFont="1" applyFill="1" applyBorder="1" applyAlignment="1">
      <alignment horizontal="center"/>
    </xf>
    <xf numFmtId="4" fontId="39" fillId="0" borderId="0" xfId="0" applyNumberFormat="1" applyFont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201" fontId="67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201" fontId="66" fillId="0" borderId="0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4" fontId="32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28" fillId="0" borderId="0" xfId="0" applyNumberFormat="1" applyFont="1" applyFill="1" applyBorder="1" applyAlignment="1">
      <alignment horizontal="left" vertical="center"/>
    </xf>
    <xf numFmtId="0" fontId="136" fillId="0" borderId="0" xfId="0" applyFont="1" applyFill="1" applyAlignment="1">
      <alignment vertical="center"/>
    </xf>
    <xf numFmtId="4" fontId="23" fillId="0" borderId="31" xfId="0" applyNumberFormat="1" applyFont="1" applyFill="1" applyBorder="1" applyAlignment="1">
      <alignment horizontal="right" vertical="center"/>
    </xf>
    <xf numFmtId="4" fontId="28" fillId="49" borderId="0" xfId="0" applyNumberFormat="1" applyFont="1" applyFill="1" applyBorder="1" applyAlignment="1">
      <alignment horizontal="left" vertical="center"/>
    </xf>
    <xf numFmtId="4" fontId="23" fillId="0" borderId="27" xfId="0" applyNumberFormat="1" applyFont="1" applyFill="1" applyBorder="1" applyAlignment="1">
      <alignment horizontal="right" vertical="center"/>
    </xf>
    <xf numFmtId="3" fontId="22" fillId="23" borderId="50" xfId="0" applyNumberFormat="1" applyFont="1" applyFill="1" applyBorder="1" applyAlignment="1">
      <alignment horizontal="center"/>
    </xf>
    <xf numFmtId="0" fontId="22" fillId="23" borderId="51" xfId="0" applyFont="1" applyFill="1" applyBorder="1" applyAlignment="1">
      <alignment horizontal="center"/>
    </xf>
    <xf numFmtId="49" fontId="34" fillId="23" borderId="51" xfId="0" applyNumberFormat="1" applyFont="1" applyFill="1" applyBorder="1" applyAlignment="1">
      <alignment horizontal="center"/>
    </xf>
    <xf numFmtId="49" fontId="22" fillId="23" borderId="52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3" fontId="22" fillId="23" borderId="20" xfId="0" applyNumberFormat="1" applyFont="1" applyFill="1" applyBorder="1" applyAlignment="1" applyProtection="1">
      <alignment horizontal="center"/>
      <protection locked="0"/>
    </xf>
    <xf numFmtId="0" fontId="22" fillId="23" borderId="21" xfId="0" applyFont="1" applyFill="1" applyBorder="1" applyAlignment="1" applyProtection="1">
      <alignment horizontal="center"/>
      <protection locked="0"/>
    </xf>
    <xf numFmtId="0" fontId="34" fillId="23" borderId="21" xfId="0" applyFont="1" applyFill="1" applyBorder="1" applyAlignment="1" applyProtection="1">
      <alignment horizontal="center"/>
      <protection locked="0"/>
    </xf>
    <xf numFmtId="49" fontId="22" fillId="23" borderId="21" xfId="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3" fontId="33" fillId="0" borderId="0" xfId="0" applyNumberFormat="1" applyFont="1" applyAlignment="1" applyProtection="1">
      <alignment horizontal="center"/>
      <protection locked="0"/>
    </xf>
    <xf numFmtId="3" fontId="33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49" fontId="28" fillId="0" borderId="25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/>
    </xf>
    <xf numFmtId="4" fontId="40" fillId="0" borderId="0" xfId="0" applyNumberFormat="1" applyFont="1" applyFill="1" applyAlignment="1">
      <alignment vertical="center"/>
    </xf>
    <xf numFmtId="4" fontId="40" fillId="0" borderId="0" xfId="0" applyNumberFormat="1" applyFont="1" applyFill="1" applyAlignment="1">
      <alignment horizontal="right" vertical="center"/>
    </xf>
    <xf numFmtId="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0" fontId="39" fillId="49" borderId="0" xfId="0" applyFont="1" applyFill="1" applyBorder="1" applyAlignment="1">
      <alignment vertical="center"/>
    </xf>
    <xf numFmtId="0" fontId="66" fillId="50" borderId="0" xfId="0" applyFont="1" applyFill="1" applyAlignment="1">
      <alignment vertical="center"/>
    </xf>
    <xf numFmtId="0" fontId="28" fillId="52" borderId="53" xfId="0" applyFont="1" applyFill="1" applyBorder="1" applyAlignment="1">
      <alignment horizontal="center" vertical="center"/>
    </xf>
    <xf numFmtId="1" fontId="28" fillId="52" borderId="53" xfId="0" applyNumberFormat="1" applyFont="1" applyFill="1" applyBorder="1" applyAlignment="1">
      <alignment horizontal="center" vertical="center"/>
    </xf>
    <xf numFmtId="0" fontId="28" fillId="52" borderId="12" xfId="0" applyFont="1" applyFill="1" applyBorder="1" applyAlignment="1">
      <alignment horizontal="center" vertical="center"/>
    </xf>
    <xf numFmtId="0" fontId="28" fillId="52" borderId="54" xfId="0" applyFont="1" applyFill="1" applyBorder="1" applyAlignment="1">
      <alignment horizontal="center" vertical="center"/>
    </xf>
    <xf numFmtId="4" fontId="23" fillId="0" borderId="34" xfId="0" applyNumberFormat="1" applyFont="1" applyFill="1" applyBorder="1" applyAlignment="1">
      <alignment horizontal="right" vertical="center"/>
    </xf>
    <xf numFmtId="4" fontId="23" fillId="0" borderId="55" xfId="0" applyNumberFormat="1" applyFont="1" applyFill="1" applyBorder="1" applyAlignment="1">
      <alignment horizontal="right" vertical="center"/>
    </xf>
    <xf numFmtId="3" fontId="22" fillId="23" borderId="16" xfId="0" applyNumberFormat="1" applyFont="1" applyFill="1" applyBorder="1" applyAlignment="1">
      <alignment horizontal="center"/>
    </xf>
    <xf numFmtId="0" fontId="22" fillId="23" borderId="0" xfId="0" applyFont="1" applyFill="1" applyBorder="1" applyAlignment="1">
      <alignment horizontal="center"/>
    </xf>
    <xf numFmtId="49" fontId="34" fillId="23" borderId="0" xfId="0" applyNumberFormat="1" applyFont="1" applyFill="1" applyBorder="1" applyAlignment="1">
      <alignment horizontal="center"/>
    </xf>
    <xf numFmtId="49" fontId="22" fillId="23" borderId="56" xfId="0" applyNumberFormat="1" applyFont="1" applyFill="1" applyBorder="1" applyAlignment="1">
      <alignment horizontal="center"/>
    </xf>
    <xf numFmtId="3" fontId="22" fillId="50" borderId="16" xfId="0" applyNumberFormat="1" applyFont="1" applyFill="1" applyBorder="1" applyAlignment="1">
      <alignment horizontal="center"/>
    </xf>
    <xf numFmtId="0" fontId="22" fillId="50" borderId="0" xfId="0" applyFont="1" applyFill="1" applyBorder="1" applyAlignment="1">
      <alignment horizontal="center"/>
    </xf>
    <xf numFmtId="49" fontId="34" fillId="50" borderId="0" xfId="0" applyNumberFormat="1" applyFont="1" applyFill="1" applyBorder="1" applyAlignment="1">
      <alignment horizontal="center"/>
    </xf>
    <xf numFmtId="49" fontId="22" fillId="50" borderId="56" xfId="0" applyNumberFormat="1" applyFont="1" applyFill="1" applyBorder="1" applyAlignment="1">
      <alignment horizontal="center"/>
    </xf>
    <xf numFmtId="3" fontId="22" fillId="46" borderId="16" xfId="0" applyNumberFormat="1" applyFont="1" applyFill="1" applyBorder="1" applyAlignment="1">
      <alignment horizontal="center"/>
    </xf>
    <xf numFmtId="0" fontId="31" fillId="46" borderId="0" xfId="0" applyFont="1" applyFill="1" applyBorder="1" applyAlignment="1">
      <alignment horizontal="center"/>
    </xf>
    <xf numFmtId="49" fontId="34" fillId="46" borderId="0" xfId="0" applyNumberFormat="1" applyFont="1" applyFill="1" applyBorder="1" applyAlignment="1">
      <alignment horizontal="center"/>
    </xf>
    <xf numFmtId="49" fontId="22" fillId="46" borderId="56" xfId="0" applyNumberFormat="1" applyFont="1" applyFill="1" applyBorder="1" applyAlignment="1">
      <alignment horizontal="center"/>
    </xf>
    <xf numFmtId="0" fontId="137" fillId="0" borderId="0" xfId="0" applyFont="1" applyAlignment="1">
      <alignment vertical="center"/>
    </xf>
    <xf numFmtId="0" fontId="138" fillId="0" borderId="0" xfId="0" applyFont="1" applyAlignment="1">
      <alignment vertical="center"/>
    </xf>
    <xf numFmtId="4" fontId="26" fillId="49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4" fontId="22" fillId="8" borderId="31" xfId="0" applyNumberFormat="1" applyFont="1" applyFill="1" applyBorder="1" applyAlignment="1">
      <alignment horizontal="right" vertical="center"/>
    </xf>
    <xf numFmtId="4" fontId="22" fillId="12" borderId="31" xfId="0" applyNumberFormat="1" applyFont="1" applyFill="1" applyBorder="1" applyAlignment="1">
      <alignment horizontal="right" vertical="center"/>
    </xf>
    <xf numFmtId="4" fontId="22" fillId="54" borderId="31" xfId="0" applyNumberFormat="1" applyFont="1" applyFill="1" applyBorder="1" applyAlignment="1">
      <alignment horizontal="right" vertical="center"/>
    </xf>
    <xf numFmtId="4" fontId="22" fillId="19" borderId="27" xfId="0" applyNumberFormat="1" applyFont="1" applyFill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4" fontId="23" fillId="0" borderId="13" xfId="0" applyNumberFormat="1" applyFont="1" applyFill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31" xfId="0" applyNumberFormat="1" applyFont="1" applyFill="1" applyBorder="1" applyAlignment="1">
      <alignment horizontal="right" vertical="center"/>
    </xf>
    <xf numFmtId="4" fontId="23" fillId="0" borderId="31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vertical="center"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29" xfId="0" applyNumberFormat="1" applyFont="1" applyBorder="1" applyAlignment="1">
      <alignment horizontal="right" vertical="center"/>
    </xf>
    <xf numFmtId="0" fontId="29" fillId="49" borderId="38" xfId="0" applyFont="1" applyFill="1" applyBorder="1" applyAlignment="1">
      <alignment vertical="center"/>
    </xf>
    <xf numFmtId="4" fontId="23" fillId="49" borderId="29" xfId="0" applyNumberFormat="1" applyFont="1" applyFill="1" applyBorder="1" applyAlignment="1">
      <alignment horizontal="right" vertical="center"/>
    </xf>
    <xf numFmtId="0" fontId="29" fillId="0" borderId="58" xfId="0" applyFont="1" applyBorder="1" applyAlignment="1">
      <alignment vertical="center"/>
    </xf>
    <xf numFmtId="4" fontId="22" fillId="11" borderId="59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4" fontId="23" fillId="0" borderId="27" xfId="0" applyNumberFormat="1" applyFont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right" vertical="center"/>
    </xf>
    <xf numFmtId="4" fontId="22" fillId="0" borderId="31" xfId="0" applyNumberFormat="1" applyFont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4" fontId="22" fillId="0" borderId="29" xfId="0" applyNumberFormat="1" applyFont="1" applyBorder="1" applyAlignment="1">
      <alignment horizontal="right" vertical="center"/>
    </xf>
    <xf numFmtId="4" fontId="22" fillId="0" borderId="27" xfId="0" applyNumberFormat="1" applyFont="1" applyFill="1" applyBorder="1" applyAlignment="1">
      <alignment horizontal="right" vertical="center"/>
    </xf>
    <xf numFmtId="4" fontId="22" fillId="0" borderId="27" xfId="0" applyNumberFormat="1" applyFont="1" applyBorder="1" applyAlignment="1">
      <alignment horizontal="right" vertical="center"/>
    </xf>
    <xf numFmtId="0" fontId="26" fillId="33" borderId="60" xfId="0" applyFont="1" applyFill="1" applyBorder="1" applyAlignment="1">
      <alignment vertical="center"/>
    </xf>
    <xf numFmtId="4" fontId="22" fillId="33" borderId="61" xfId="0" applyNumberFormat="1" applyFont="1" applyFill="1" applyBorder="1" applyAlignment="1">
      <alignment horizontal="right" vertical="center"/>
    </xf>
    <xf numFmtId="4" fontId="26" fillId="50" borderId="32" xfId="0" applyNumberFormat="1" applyFont="1" applyFill="1" applyBorder="1" applyAlignment="1">
      <alignment horizontal="right" vertical="center"/>
    </xf>
    <xf numFmtId="4" fontId="22" fillId="19" borderId="31" xfId="0" applyNumberFormat="1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 wrapText="1"/>
    </xf>
    <xf numFmtId="4" fontId="22" fillId="19" borderId="29" xfId="0" applyNumberFormat="1" applyFont="1" applyFill="1" applyBorder="1" applyAlignment="1">
      <alignment horizontal="right" vertical="center"/>
    </xf>
    <xf numFmtId="0" fontId="23" fillId="0" borderId="38" xfId="0" applyFont="1" applyBorder="1" applyAlignment="1">
      <alignment vertical="center" wrapText="1"/>
    </xf>
    <xf numFmtId="0" fontId="23" fillId="0" borderId="60" xfId="0" applyFont="1" applyBorder="1" applyAlignment="1">
      <alignment vertical="center"/>
    </xf>
    <xf numFmtId="4" fontId="23" fillId="0" borderId="61" xfId="0" applyNumberFormat="1" applyFont="1" applyFill="1" applyBorder="1" applyAlignment="1">
      <alignment horizontal="right" vertical="center"/>
    </xf>
    <xf numFmtId="4" fontId="23" fillId="0" borderId="61" xfId="0" applyNumberFormat="1" applyFont="1" applyBorder="1" applyAlignment="1">
      <alignment horizontal="right" vertical="center"/>
    </xf>
    <xf numFmtId="0" fontId="26" fillId="19" borderId="33" xfId="0" applyFont="1" applyFill="1" applyBorder="1" applyAlignment="1">
      <alignment vertical="center"/>
    </xf>
    <xf numFmtId="4" fontId="22" fillId="19" borderId="32" xfId="0" applyNumberFormat="1" applyFont="1" applyFill="1" applyBorder="1" applyAlignment="1">
      <alignment horizontal="right" vertical="center"/>
    </xf>
    <xf numFmtId="4" fontId="29" fillId="0" borderId="32" xfId="0" applyNumberFormat="1" applyFont="1" applyFill="1" applyBorder="1" applyAlignment="1">
      <alignment horizontal="right" vertical="center"/>
    </xf>
    <xf numFmtId="4" fontId="29" fillId="0" borderId="32" xfId="0" applyNumberFormat="1" applyFont="1" applyBorder="1" applyAlignment="1">
      <alignment horizontal="right" vertical="center"/>
    </xf>
    <xf numFmtId="4" fontId="22" fillId="21" borderId="62" xfId="0" applyNumberFormat="1" applyFont="1" applyFill="1" applyBorder="1" applyAlignment="1">
      <alignment horizontal="right" vertical="center"/>
    </xf>
    <xf numFmtId="4" fontId="22" fillId="21" borderId="63" xfId="0" applyNumberFormat="1" applyFont="1" applyFill="1" applyBorder="1" applyAlignment="1">
      <alignment horizontal="right" vertical="center"/>
    </xf>
    <xf numFmtId="49" fontId="86" fillId="35" borderId="26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26" fillId="35" borderId="36" xfId="0" applyNumberFormat="1" applyFont="1" applyFill="1" applyBorder="1" applyAlignment="1">
      <alignment horizontal="center" vertical="center"/>
    </xf>
    <xf numFmtId="49" fontId="26" fillId="35" borderId="15" xfId="0" applyNumberFormat="1" applyFont="1" applyFill="1" applyBorder="1" applyAlignment="1">
      <alignment horizontal="center" vertical="center"/>
    </xf>
    <xf numFmtId="0" fontId="33" fillId="52" borderId="42" xfId="0" applyFont="1" applyFill="1" applyBorder="1" applyAlignment="1">
      <alignment horizontal="center" vertical="center"/>
    </xf>
    <xf numFmtId="0" fontId="62" fillId="14" borderId="25" xfId="0" applyFont="1" applyFill="1" applyBorder="1" applyAlignment="1">
      <alignment horizontal="center" vertical="center"/>
    </xf>
    <xf numFmtId="0" fontId="65" fillId="14" borderId="64" xfId="0" applyFont="1" applyFill="1" applyBorder="1" applyAlignment="1">
      <alignment vertical="center"/>
    </xf>
    <xf numFmtId="0" fontId="27" fillId="7" borderId="33" xfId="0" applyFont="1" applyFill="1" applyBorder="1" applyAlignment="1">
      <alignment horizontal="left" vertical="center"/>
    </xf>
    <xf numFmtId="0" fontId="27" fillId="7" borderId="56" xfId="0" applyFont="1" applyFill="1" applyBorder="1" applyAlignment="1">
      <alignment vertical="center"/>
    </xf>
    <xf numFmtId="0" fontId="65" fillId="7" borderId="65" xfId="0" applyFont="1" applyFill="1" applyBorder="1" applyAlignment="1">
      <alignment/>
    </xf>
    <xf numFmtId="0" fontId="33" fillId="50" borderId="43" xfId="0" applyFont="1" applyFill="1" applyBorder="1" applyAlignment="1">
      <alignment horizontal="center" vertical="center"/>
    </xf>
    <xf numFmtId="49" fontId="62" fillId="35" borderId="28" xfId="0" applyNumberFormat="1" applyFont="1" applyFill="1" applyBorder="1" applyAlignment="1">
      <alignment horizontal="center" vertical="center"/>
    </xf>
    <xf numFmtId="49" fontId="62" fillId="35" borderId="28" xfId="0" applyNumberFormat="1" applyFont="1" applyFill="1" applyBorder="1" applyAlignment="1">
      <alignment horizontal="left" vertical="center"/>
    </xf>
    <xf numFmtId="0" fontId="27" fillId="35" borderId="64" xfId="0" applyFont="1" applyFill="1" applyBorder="1" applyAlignment="1">
      <alignment vertical="center"/>
    </xf>
    <xf numFmtId="49" fontId="62" fillId="0" borderId="28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vertical="center"/>
    </xf>
    <xf numFmtId="0" fontId="65" fillId="0" borderId="64" xfId="0" applyFont="1" applyFill="1" applyBorder="1" applyAlignment="1">
      <alignment vertical="center" wrapText="1"/>
    </xf>
    <xf numFmtId="1" fontId="33" fillId="52" borderId="43" xfId="0" applyNumberFormat="1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49" fontId="87" fillId="0" borderId="26" xfId="0" applyNumberFormat="1" applyFont="1" applyFill="1" applyBorder="1" applyAlignment="1">
      <alignment horizontal="center" vertical="center"/>
    </xf>
    <xf numFmtId="0" fontId="65" fillId="49" borderId="17" xfId="0" applyFont="1" applyFill="1" applyBorder="1" applyAlignment="1">
      <alignment vertical="center" wrapText="1"/>
    </xf>
    <xf numFmtId="0" fontId="65" fillId="49" borderId="17" xfId="0" applyFont="1" applyFill="1" applyBorder="1" applyAlignment="1">
      <alignment vertical="center" wrapText="1"/>
    </xf>
    <xf numFmtId="0" fontId="65" fillId="7" borderId="65" xfId="0" applyFont="1" applyFill="1" applyBorder="1" applyAlignment="1">
      <alignment vertical="center"/>
    </xf>
    <xf numFmtId="0" fontId="62" fillId="14" borderId="64" xfId="0" applyFont="1" applyFill="1" applyBorder="1" applyAlignment="1">
      <alignment vertical="center"/>
    </xf>
    <xf numFmtId="49" fontId="62" fillId="35" borderId="26" xfId="0" applyNumberFormat="1" applyFont="1" applyFill="1" applyBorder="1" applyAlignment="1">
      <alignment horizontal="center" vertical="center"/>
    </xf>
    <xf numFmtId="49" fontId="62" fillId="35" borderId="11" xfId="0" applyNumberFormat="1" applyFont="1" applyFill="1" applyBorder="1" applyAlignment="1">
      <alignment horizontal="left" vertical="center"/>
    </xf>
    <xf numFmtId="0" fontId="27" fillId="35" borderId="0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 wrapText="1"/>
    </xf>
    <xf numFmtId="0" fontId="62" fillId="14" borderId="26" xfId="0" applyFont="1" applyFill="1" applyBorder="1" applyAlignment="1">
      <alignment horizontal="center" vertical="center"/>
    </xf>
    <xf numFmtId="0" fontId="62" fillId="14" borderId="13" xfId="0" applyFont="1" applyFill="1" applyBorder="1" applyAlignment="1">
      <alignment vertical="center"/>
    </xf>
    <xf numFmtId="0" fontId="65" fillId="14" borderId="13" xfId="0" applyFont="1" applyFill="1" applyBorder="1" applyAlignment="1">
      <alignment vertical="center"/>
    </xf>
    <xf numFmtId="49" fontId="62" fillId="35" borderId="11" xfId="0" applyNumberFormat="1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vertical="center"/>
    </xf>
    <xf numFmtId="0" fontId="62" fillId="14" borderId="0" xfId="0" applyFont="1" applyFill="1" applyBorder="1" applyAlignment="1">
      <alignment vertical="center"/>
    </xf>
    <xf numFmtId="0" fontId="65" fillId="14" borderId="0" xfId="0" applyFont="1" applyFill="1" applyBorder="1" applyAlignment="1">
      <alignment vertical="center"/>
    </xf>
    <xf numFmtId="49" fontId="62" fillId="35" borderId="25" xfId="0" applyNumberFormat="1" applyFont="1" applyFill="1" applyBorder="1" applyAlignment="1">
      <alignment horizontal="center" vertical="center"/>
    </xf>
    <xf numFmtId="49" fontId="62" fillId="35" borderId="17" xfId="0" applyNumberFormat="1" applyFont="1" applyFill="1" applyBorder="1" applyAlignment="1">
      <alignment horizontal="left" vertical="center"/>
    </xf>
    <xf numFmtId="0" fontId="27" fillId="35" borderId="38" xfId="0" applyFont="1" applyFill="1" applyBorder="1" applyAlignment="1">
      <alignment vertical="center"/>
    </xf>
    <xf numFmtId="0" fontId="65" fillId="49" borderId="13" xfId="0" applyFont="1" applyFill="1" applyBorder="1" applyAlignment="1">
      <alignment vertical="center" wrapText="1"/>
    </xf>
    <xf numFmtId="49" fontId="62" fillId="35" borderId="57" xfId="0" applyNumberFormat="1" applyFont="1" applyFill="1" applyBorder="1" applyAlignment="1">
      <alignment horizontal="left" vertical="center"/>
    </xf>
    <xf numFmtId="0" fontId="65" fillId="0" borderId="64" xfId="0" applyFont="1" applyFill="1" applyBorder="1" applyAlignment="1">
      <alignment vertical="center" wrapText="1"/>
    </xf>
    <xf numFmtId="0" fontId="65" fillId="49" borderId="64" xfId="0" applyFont="1" applyFill="1" applyBorder="1" applyAlignment="1">
      <alignment vertical="center" wrapText="1"/>
    </xf>
    <xf numFmtId="49" fontId="87" fillId="0" borderId="17" xfId="0" applyNumberFormat="1" applyFont="1" applyFill="1" applyBorder="1" applyAlignment="1">
      <alignment horizontal="center" vertical="center"/>
    </xf>
    <xf numFmtId="0" fontId="65" fillId="49" borderId="38" xfId="0" applyFont="1" applyFill="1" applyBorder="1" applyAlignment="1">
      <alignment vertical="center"/>
    </xf>
    <xf numFmtId="0" fontId="65" fillId="49" borderId="64" xfId="0" applyFont="1" applyFill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5" fillId="49" borderId="13" xfId="0" applyFont="1" applyFill="1" applyBorder="1" applyAlignment="1">
      <alignment vertical="center"/>
    </xf>
    <xf numFmtId="0" fontId="65" fillId="0" borderId="30" xfId="0" applyFont="1" applyBorder="1" applyAlignment="1">
      <alignment horizontal="center" vertical="center"/>
    </xf>
    <xf numFmtId="49" fontId="87" fillId="0" borderId="30" xfId="0" applyNumberFormat="1" applyFont="1" applyFill="1" applyBorder="1" applyAlignment="1">
      <alignment horizontal="center" vertical="center"/>
    </xf>
    <xf numFmtId="0" fontId="65" fillId="49" borderId="66" xfId="0" applyFont="1" applyFill="1" applyBorder="1" applyAlignment="1">
      <alignment vertical="center"/>
    </xf>
    <xf numFmtId="4" fontId="27" fillId="26" borderId="59" xfId="0" applyNumberFormat="1" applyFont="1" applyFill="1" applyBorder="1" applyAlignment="1" applyProtection="1">
      <alignment horizontal="right" vertical="center"/>
      <protection locked="0"/>
    </xf>
    <xf numFmtId="4" fontId="27" fillId="26" borderId="59" xfId="0" applyNumberFormat="1" applyFont="1" applyFill="1" applyBorder="1" applyAlignment="1">
      <alignment horizontal="right" vertical="center"/>
    </xf>
    <xf numFmtId="0" fontId="65" fillId="52" borderId="42" xfId="0" applyFont="1" applyFill="1" applyBorder="1" applyAlignment="1">
      <alignment horizontal="center" vertical="center"/>
    </xf>
    <xf numFmtId="4" fontId="27" fillId="35" borderId="31" xfId="0" applyNumberFormat="1" applyFont="1" applyFill="1" applyBorder="1" applyAlignment="1" applyProtection="1">
      <alignment horizontal="right" vertical="center"/>
      <protection locked="0"/>
    </xf>
    <xf numFmtId="4" fontId="27" fillId="35" borderId="31" xfId="0" applyNumberFormat="1" applyFont="1" applyFill="1" applyBorder="1" applyAlignment="1">
      <alignment horizontal="right" vertical="center"/>
    </xf>
    <xf numFmtId="0" fontId="65" fillId="49" borderId="64" xfId="0" applyFont="1" applyFill="1" applyBorder="1" applyAlignment="1">
      <alignment vertical="center"/>
    </xf>
    <xf numFmtId="4" fontId="62" fillId="49" borderId="29" xfId="0" applyNumberFormat="1" applyFont="1" applyFill="1" applyBorder="1" applyAlignment="1" applyProtection="1">
      <alignment horizontal="right" vertical="center"/>
      <protection locked="0"/>
    </xf>
    <xf numFmtId="4" fontId="62" fillId="49" borderId="29" xfId="0" applyNumberFormat="1" applyFont="1" applyFill="1" applyBorder="1" applyAlignment="1">
      <alignment horizontal="right" vertical="center"/>
    </xf>
    <xf numFmtId="4" fontId="62" fillId="0" borderId="29" xfId="0" applyNumberFormat="1" applyFont="1" applyFill="1" applyBorder="1" applyAlignment="1">
      <alignment horizontal="right" vertical="center"/>
    </xf>
    <xf numFmtId="4" fontId="27" fillId="35" borderId="29" xfId="0" applyNumberFormat="1" applyFont="1" applyFill="1" applyBorder="1" applyAlignment="1" applyProtection="1">
      <alignment horizontal="right" vertical="center"/>
      <protection locked="0"/>
    </xf>
    <xf numFmtId="4" fontId="27" fillId="35" borderId="29" xfId="0" applyNumberFormat="1" applyFont="1" applyFill="1" applyBorder="1" applyAlignment="1">
      <alignment horizontal="right" vertical="center"/>
    </xf>
    <xf numFmtId="0" fontId="62" fillId="49" borderId="64" xfId="0" applyFont="1" applyFill="1" applyBorder="1" applyAlignment="1">
      <alignment vertical="center"/>
    </xf>
    <xf numFmtId="0" fontId="87" fillId="0" borderId="64" xfId="0" applyFont="1" applyBorder="1" applyAlignment="1">
      <alignment vertical="center"/>
    </xf>
    <xf numFmtId="4" fontId="62" fillId="0" borderId="29" xfId="0" applyNumberFormat="1" applyFont="1" applyFill="1" applyBorder="1" applyAlignment="1" applyProtection="1">
      <alignment horizontal="right" vertical="center"/>
      <protection locked="0"/>
    </xf>
    <xf numFmtId="49" fontId="65" fillId="0" borderId="26" xfId="0" applyNumberFormat="1" applyFont="1" applyBorder="1" applyAlignment="1">
      <alignment horizontal="center" vertical="center"/>
    </xf>
    <xf numFmtId="0" fontId="65" fillId="0" borderId="64" xfId="0" applyFont="1" applyBorder="1" applyAlignment="1">
      <alignment vertical="center"/>
    </xf>
    <xf numFmtId="4" fontId="65" fillId="0" borderId="29" xfId="0" applyNumberFormat="1" applyFont="1" applyBorder="1" applyAlignment="1" applyProtection="1">
      <alignment horizontal="right" vertical="center"/>
      <protection locked="0"/>
    </xf>
    <xf numFmtId="4" fontId="65" fillId="0" borderId="29" xfId="0" applyNumberFormat="1" applyFont="1" applyBorder="1" applyAlignment="1">
      <alignment horizontal="right" vertical="center"/>
    </xf>
    <xf numFmtId="4" fontId="65" fillId="0" borderId="29" xfId="0" applyNumberFormat="1" applyFont="1" applyFill="1" applyBorder="1" applyAlignment="1" applyProtection="1">
      <alignment horizontal="right" vertical="center"/>
      <protection locked="0"/>
    </xf>
    <xf numFmtId="49" fontId="65" fillId="0" borderId="26" xfId="0" applyNumberFormat="1" applyFont="1" applyFill="1" applyBorder="1" applyAlignment="1">
      <alignment horizontal="center" vertical="center"/>
    </xf>
    <xf numFmtId="4" fontId="65" fillId="55" borderId="29" xfId="0" applyNumberFormat="1" applyFont="1" applyFill="1" applyBorder="1" applyAlignment="1">
      <alignment horizontal="right" vertical="center"/>
    </xf>
    <xf numFmtId="4" fontId="65" fillId="0" borderId="27" xfId="0" applyNumberFormat="1" applyFont="1" applyFill="1" applyBorder="1" applyAlignment="1" applyProtection="1">
      <alignment horizontal="right" vertical="center"/>
      <protection locked="0"/>
    </xf>
    <xf numFmtId="4" fontId="65" fillId="55" borderId="27" xfId="0" applyNumberFormat="1" applyFont="1" applyFill="1" applyBorder="1" applyAlignment="1">
      <alignment horizontal="right" vertical="center"/>
    </xf>
    <xf numFmtId="4" fontId="65" fillId="0" borderId="27" xfId="0" applyNumberFormat="1" applyFont="1" applyFill="1" applyBorder="1" applyAlignment="1">
      <alignment horizontal="right" vertical="center"/>
    </xf>
    <xf numFmtId="0" fontId="65" fillId="52" borderId="43" xfId="0" applyFont="1" applyFill="1" applyBorder="1" applyAlignment="1">
      <alignment horizontal="center" vertical="center"/>
    </xf>
    <xf numFmtId="0" fontId="65" fillId="52" borderId="44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4" fontId="65" fillId="0" borderId="27" xfId="0" applyNumberFormat="1" applyFont="1" applyBorder="1" applyAlignment="1" applyProtection="1">
      <alignment horizontal="right" vertical="center"/>
      <protection locked="0"/>
    </xf>
    <xf numFmtId="4" fontId="65" fillId="0" borderId="27" xfId="0" applyNumberFormat="1" applyFont="1" applyBorder="1" applyAlignment="1">
      <alignment horizontal="right" vertical="center"/>
    </xf>
    <xf numFmtId="4" fontId="27" fillId="35" borderId="21" xfId="0" applyNumberFormat="1" applyFont="1" applyFill="1" applyBorder="1" applyAlignment="1" applyProtection="1">
      <alignment horizontal="right" vertical="center"/>
      <protection locked="0"/>
    </xf>
    <xf numFmtId="4" fontId="27" fillId="35" borderId="21" xfId="0" applyNumberFormat="1" applyFont="1" applyFill="1" applyBorder="1" applyAlignment="1">
      <alignment horizontal="right" vertical="center"/>
    </xf>
    <xf numFmtId="49" fontId="62" fillId="0" borderId="67" xfId="0" applyNumberFormat="1" applyFont="1" applyFill="1" applyBorder="1" applyAlignment="1">
      <alignment vertical="center"/>
    </xf>
    <xf numFmtId="0" fontId="65" fillId="0" borderId="67" xfId="0" applyFont="1" applyFill="1" applyBorder="1" applyAlignment="1">
      <alignment vertical="center"/>
    </xf>
    <xf numFmtId="4" fontId="62" fillId="0" borderId="68" xfId="0" applyNumberFormat="1" applyFont="1" applyFill="1" applyBorder="1" applyAlignment="1" applyProtection="1">
      <alignment horizontal="right" vertical="center"/>
      <protection locked="0"/>
    </xf>
    <xf numFmtId="4" fontId="62" fillId="0" borderId="68" xfId="0" applyNumberFormat="1" applyFont="1" applyFill="1" applyBorder="1" applyAlignment="1">
      <alignment horizontal="right" vertical="center"/>
    </xf>
    <xf numFmtId="0" fontId="62" fillId="49" borderId="65" xfId="0" applyFont="1" applyFill="1" applyBorder="1" applyAlignment="1">
      <alignment vertical="center"/>
    </xf>
    <xf numFmtId="0" fontId="65" fillId="49" borderId="65" xfId="0" applyFont="1" applyFill="1" applyBorder="1" applyAlignment="1">
      <alignment vertical="center"/>
    </xf>
    <xf numFmtId="4" fontId="62" fillId="0" borderId="32" xfId="0" applyNumberFormat="1" applyFont="1" applyBorder="1" applyAlignment="1" applyProtection="1">
      <alignment horizontal="right" vertical="center"/>
      <protection locked="0"/>
    </xf>
    <xf numFmtId="4" fontId="62" fillId="0" borderId="32" xfId="0" applyNumberFormat="1" applyFont="1" applyBorder="1" applyAlignment="1">
      <alignment horizontal="right" vertical="center"/>
    </xf>
    <xf numFmtId="4" fontId="65" fillId="0" borderId="31" xfId="0" applyNumberFormat="1" applyFont="1" applyBorder="1" applyAlignment="1" applyProtection="1">
      <alignment horizontal="right" vertical="center"/>
      <protection locked="0"/>
    </xf>
    <xf numFmtId="4" fontId="65" fillId="0" borderId="31" xfId="0" applyNumberFormat="1" applyFont="1" applyBorder="1" applyAlignment="1">
      <alignment horizontal="right" vertical="center"/>
    </xf>
    <xf numFmtId="4" fontId="65" fillId="0" borderId="61" xfId="0" applyNumberFormat="1" applyFont="1" applyBorder="1" applyAlignment="1" applyProtection="1">
      <alignment horizontal="right" vertical="center"/>
      <protection locked="0"/>
    </xf>
    <xf numFmtId="4" fontId="65" fillId="0" borderId="61" xfId="0" applyNumberFormat="1" applyFont="1" applyBorder="1" applyAlignment="1">
      <alignment horizontal="right" vertical="center"/>
    </xf>
    <xf numFmtId="4" fontId="65" fillId="50" borderId="61" xfId="0" applyNumberFormat="1" applyFont="1" applyFill="1" applyBorder="1" applyAlignment="1">
      <alignment horizontal="right" vertical="center"/>
    </xf>
    <xf numFmtId="0" fontId="62" fillId="0" borderId="65" xfId="0" applyFont="1" applyBorder="1" applyAlignment="1">
      <alignment vertical="center"/>
    </xf>
    <xf numFmtId="0" fontId="87" fillId="49" borderId="65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65" fillId="49" borderId="69" xfId="0" applyFont="1" applyFill="1" applyBorder="1" applyAlignment="1">
      <alignment vertical="center"/>
    </xf>
    <xf numFmtId="4" fontId="65" fillId="49" borderId="27" xfId="0" applyNumberFormat="1" applyFont="1" applyFill="1" applyBorder="1" applyAlignment="1" applyProtection="1">
      <alignment horizontal="right" vertical="center"/>
      <protection locked="0"/>
    </xf>
    <xf numFmtId="4" fontId="27" fillId="35" borderId="59" xfId="0" applyNumberFormat="1" applyFont="1" applyFill="1" applyBorder="1" applyAlignment="1" applyProtection="1">
      <alignment horizontal="right" vertical="center"/>
      <protection locked="0"/>
    </xf>
    <xf numFmtId="4" fontId="27" fillId="35" borderId="59" xfId="0" applyNumberFormat="1" applyFont="1" applyFill="1" applyBorder="1" applyAlignment="1">
      <alignment horizontal="right" vertical="center"/>
    </xf>
    <xf numFmtId="0" fontId="62" fillId="0" borderId="67" xfId="0" applyFont="1" applyBorder="1" applyAlignment="1">
      <alignment vertical="center"/>
    </xf>
    <xf numFmtId="0" fontId="87" fillId="49" borderId="67" xfId="0" applyFont="1" applyFill="1" applyBorder="1" applyAlignment="1">
      <alignment vertical="center"/>
    </xf>
    <xf numFmtId="4" fontId="62" fillId="0" borderId="68" xfId="0" applyNumberFormat="1" applyFont="1" applyBorder="1" applyAlignment="1" applyProtection="1">
      <alignment horizontal="right" vertical="center"/>
      <protection locked="0"/>
    </xf>
    <xf numFmtId="4" fontId="62" fillId="0" borderId="68" xfId="0" applyNumberFormat="1" applyFont="1" applyBorder="1" applyAlignment="1">
      <alignment horizontal="right" vertical="center"/>
    </xf>
    <xf numFmtId="0" fontId="65" fillId="49" borderId="13" xfId="0" applyFont="1" applyFill="1" applyBorder="1" applyAlignment="1">
      <alignment vertical="center"/>
    </xf>
    <xf numFmtId="0" fontId="65" fillId="49" borderId="0" xfId="0" applyFont="1" applyFill="1" applyBorder="1" applyAlignment="1">
      <alignment vertical="center"/>
    </xf>
    <xf numFmtId="4" fontId="65" fillId="55" borderId="29" xfId="0" applyNumberFormat="1" applyFont="1" applyFill="1" applyBorder="1" applyAlignment="1" applyProtection="1">
      <alignment horizontal="right" vertical="center"/>
      <protection locked="0"/>
    </xf>
    <xf numFmtId="4" fontId="65" fillId="55" borderId="21" xfId="0" applyNumberFormat="1" applyFont="1" applyFill="1" applyBorder="1" applyAlignment="1" applyProtection="1">
      <alignment horizontal="right" vertical="center"/>
      <protection locked="0"/>
    </xf>
    <xf numFmtId="4" fontId="65" fillId="55" borderId="21" xfId="0" applyNumberFormat="1" applyFont="1" applyFill="1" applyBorder="1" applyAlignment="1">
      <alignment horizontal="right" vertical="center"/>
    </xf>
    <xf numFmtId="4" fontId="62" fillId="35" borderId="59" xfId="0" applyNumberFormat="1" applyFont="1" applyFill="1" applyBorder="1" applyAlignment="1" applyProtection="1">
      <alignment horizontal="right" vertical="center"/>
      <protection locked="0"/>
    </xf>
    <xf numFmtId="4" fontId="62" fillId="35" borderId="59" xfId="0" applyNumberFormat="1" applyFont="1" applyFill="1" applyBorder="1" applyAlignment="1">
      <alignment horizontal="right" vertical="center"/>
    </xf>
    <xf numFmtId="4" fontId="65" fillId="0" borderId="21" xfId="0" applyNumberFormat="1" applyFont="1" applyBorder="1" applyAlignment="1" applyProtection="1">
      <alignment horizontal="right" vertical="center"/>
      <protection locked="0"/>
    </xf>
    <xf numFmtId="4" fontId="65" fillId="0" borderId="21" xfId="0" applyNumberFormat="1" applyFont="1" applyBorder="1" applyAlignment="1">
      <alignment horizontal="right" vertical="center"/>
    </xf>
    <xf numFmtId="4" fontId="62" fillId="35" borderId="68" xfId="0" applyNumberFormat="1" applyFont="1" applyFill="1" applyBorder="1" applyAlignment="1" applyProtection="1">
      <alignment horizontal="right" vertical="center"/>
      <protection locked="0"/>
    </xf>
    <xf numFmtId="4" fontId="62" fillId="35" borderId="68" xfId="0" applyNumberFormat="1" applyFont="1" applyFill="1" applyBorder="1" applyAlignment="1">
      <alignment horizontal="right" vertical="center"/>
    </xf>
    <xf numFmtId="0" fontId="62" fillId="0" borderId="56" xfId="0" applyFont="1" applyBorder="1" applyAlignment="1">
      <alignment vertical="center"/>
    </xf>
    <xf numFmtId="0" fontId="65" fillId="49" borderId="56" xfId="0" applyFont="1" applyFill="1" applyBorder="1" applyAlignment="1">
      <alignment vertical="center"/>
    </xf>
    <xf numFmtId="4" fontId="62" fillId="0" borderId="24" xfId="0" applyNumberFormat="1" applyFont="1" applyBorder="1" applyAlignment="1" applyProtection="1">
      <alignment horizontal="right" vertical="center"/>
      <protection locked="0"/>
    </xf>
    <xf numFmtId="4" fontId="62" fillId="0" borderId="24" xfId="0" applyNumberFormat="1" applyFont="1" applyBorder="1" applyAlignment="1">
      <alignment horizontal="right" vertical="center"/>
    </xf>
    <xf numFmtId="0" fontId="65" fillId="0" borderId="39" xfId="0" applyFont="1" applyFill="1" applyBorder="1" applyAlignment="1">
      <alignment vertical="center"/>
    </xf>
    <xf numFmtId="4" fontId="65" fillId="0" borderId="31" xfId="0" applyNumberFormat="1" applyFont="1" applyFill="1" applyBorder="1" applyAlignment="1" applyProtection="1">
      <alignment horizontal="right" vertical="center"/>
      <protection locked="0"/>
    </xf>
    <xf numFmtId="4" fontId="65" fillId="0" borderId="31" xfId="0" applyNumberFormat="1" applyFont="1" applyFill="1" applyBorder="1" applyAlignment="1">
      <alignment horizontal="right" vertical="center"/>
    </xf>
    <xf numFmtId="4" fontId="65" fillId="0" borderId="34" xfId="0" applyNumberFormat="1" applyFont="1" applyBorder="1" applyAlignment="1" applyProtection="1">
      <alignment horizontal="right" vertical="center"/>
      <protection locked="0"/>
    </xf>
    <xf numFmtId="4" fontId="65" fillId="0" borderId="34" xfId="0" applyNumberFormat="1" applyFont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4" fontId="62" fillId="0" borderId="21" xfId="0" applyNumberFormat="1" applyFont="1" applyFill="1" applyBorder="1" applyAlignment="1" applyProtection="1">
      <alignment horizontal="right" vertical="center"/>
      <protection locked="0"/>
    </xf>
    <xf numFmtId="4" fontId="62" fillId="0" borderId="21" xfId="0" applyNumberFormat="1" applyFont="1" applyFill="1" applyBorder="1" applyAlignment="1">
      <alignment horizontal="right" vertical="center"/>
    </xf>
    <xf numFmtId="0" fontId="62" fillId="49" borderId="67" xfId="0" applyFont="1" applyFill="1" applyBorder="1" applyAlignment="1">
      <alignment vertical="center"/>
    </xf>
    <xf numFmtId="4" fontId="62" fillId="49" borderId="68" xfId="0" applyNumberFormat="1" applyFont="1" applyFill="1" applyBorder="1" applyAlignment="1" applyProtection="1">
      <alignment horizontal="right" vertical="center"/>
      <protection locked="0"/>
    </xf>
    <xf numFmtId="4" fontId="62" fillId="49" borderId="68" xfId="0" applyNumberFormat="1" applyFont="1" applyFill="1" applyBorder="1" applyAlignment="1">
      <alignment horizontal="right" vertical="center"/>
    </xf>
    <xf numFmtId="49" fontId="65" fillId="0" borderId="28" xfId="0" applyNumberFormat="1" applyFont="1" applyBorder="1" applyAlignment="1">
      <alignment horizontal="center" vertical="center"/>
    </xf>
    <xf numFmtId="0" fontId="65" fillId="0" borderId="13" xfId="0" applyFont="1" applyFill="1" applyBorder="1" applyAlignment="1">
      <alignment vertical="center" wrapText="1"/>
    </xf>
    <xf numFmtId="4" fontId="65" fillId="0" borderId="21" xfId="0" applyNumberFormat="1" applyFont="1" applyFill="1" applyBorder="1" applyAlignment="1" applyProtection="1">
      <alignment horizontal="right" vertical="center"/>
      <protection locked="0"/>
    </xf>
    <xf numFmtId="4" fontId="65" fillId="0" borderId="21" xfId="0" applyNumberFormat="1" applyFont="1" applyFill="1" applyBorder="1" applyAlignment="1">
      <alignment horizontal="right"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5" fillId="49" borderId="38" xfId="0" applyFont="1" applyFill="1" applyBorder="1" applyAlignment="1">
      <alignment vertical="center"/>
    </xf>
    <xf numFmtId="4" fontId="65" fillId="0" borderId="34" xfId="0" applyNumberFormat="1" applyFont="1" applyFill="1" applyBorder="1" applyAlignment="1" applyProtection="1">
      <alignment horizontal="right" vertical="center"/>
      <protection locked="0"/>
    </xf>
    <xf numFmtId="4" fontId="65" fillId="0" borderId="34" xfId="0" applyNumberFormat="1" applyFont="1" applyFill="1" applyBorder="1" applyAlignment="1">
      <alignment horizontal="right" vertical="center"/>
    </xf>
    <xf numFmtId="4" fontId="62" fillId="44" borderId="70" xfId="0" applyNumberFormat="1" applyFont="1" applyFill="1" applyBorder="1" applyAlignment="1" applyProtection="1">
      <alignment horizontal="right" vertical="center"/>
      <protection locked="0"/>
    </xf>
    <xf numFmtId="4" fontId="62" fillId="44" borderId="70" xfId="0" applyNumberFormat="1" applyFont="1" applyFill="1" applyBorder="1" applyAlignment="1">
      <alignment horizontal="right" vertical="center"/>
    </xf>
    <xf numFmtId="4" fontId="27" fillId="26" borderId="70" xfId="0" applyNumberFormat="1" applyFont="1" applyFill="1" applyBorder="1" applyAlignment="1" applyProtection="1">
      <alignment horizontal="right" vertical="center"/>
      <protection locked="0"/>
    </xf>
    <xf numFmtId="4" fontId="27" fillId="26" borderId="70" xfId="0" applyNumberFormat="1" applyFont="1" applyFill="1" applyBorder="1" applyAlignment="1">
      <alignment horizontal="right" vertical="center"/>
    </xf>
    <xf numFmtId="0" fontId="65" fillId="0" borderId="53" xfId="0" applyFont="1" applyFill="1" applyBorder="1" applyAlignment="1">
      <alignment vertical="center"/>
    </xf>
    <xf numFmtId="0" fontId="65" fillId="0" borderId="53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/>
    </xf>
    <xf numFmtId="4" fontId="65" fillId="0" borderId="70" xfId="0" applyNumberFormat="1" applyFont="1" applyFill="1" applyBorder="1" applyAlignment="1" applyProtection="1">
      <alignment horizontal="right" vertical="center"/>
      <protection locked="0"/>
    </xf>
    <xf numFmtId="0" fontId="65" fillId="0" borderId="71" xfId="0" applyFont="1" applyFill="1" applyBorder="1" applyAlignment="1">
      <alignment vertical="center"/>
    </xf>
    <xf numFmtId="4" fontId="65" fillId="0" borderId="72" xfId="0" applyNumberFormat="1" applyFont="1" applyFill="1" applyBorder="1" applyAlignment="1" applyProtection="1">
      <alignment horizontal="right" vertical="center"/>
      <protection locked="0"/>
    </xf>
    <xf numFmtId="4" fontId="65" fillId="0" borderId="72" xfId="0" applyNumberFormat="1" applyFont="1" applyFill="1" applyBorder="1" applyAlignment="1">
      <alignment horizontal="right" vertical="center"/>
    </xf>
    <xf numFmtId="49" fontId="62" fillId="3" borderId="73" xfId="0" applyNumberFormat="1" applyFont="1" applyFill="1" applyBorder="1" applyAlignment="1">
      <alignment horizontal="center" vertical="center"/>
    </xf>
    <xf numFmtId="49" fontId="62" fillId="3" borderId="74" xfId="0" applyNumberFormat="1" applyFont="1" applyFill="1" applyBorder="1" applyAlignment="1">
      <alignment horizontal="center" vertical="center"/>
    </xf>
    <xf numFmtId="49" fontId="27" fillId="3" borderId="74" xfId="0" applyNumberFormat="1" applyFont="1" applyFill="1" applyBorder="1" applyAlignment="1">
      <alignment horizontal="center" vertical="center"/>
    </xf>
    <xf numFmtId="4" fontId="27" fillId="3" borderId="59" xfId="0" applyNumberFormat="1" applyFont="1" applyFill="1" applyBorder="1" applyAlignment="1" applyProtection="1">
      <alignment horizontal="right" vertical="center"/>
      <protection locked="0"/>
    </xf>
    <xf numFmtId="4" fontId="27" fillId="3" borderId="59" xfId="0" applyNumberFormat="1" applyFont="1" applyFill="1" applyBorder="1" applyAlignment="1">
      <alignment horizontal="right" vertical="center"/>
    </xf>
    <xf numFmtId="4" fontId="27" fillId="14" borderId="75" xfId="0" applyNumberFormat="1" applyFont="1" applyFill="1" applyBorder="1" applyAlignment="1">
      <alignment horizontal="right" vertical="center"/>
    </xf>
    <xf numFmtId="49" fontId="62" fillId="11" borderId="25" xfId="0" applyNumberFormat="1" applyFont="1" applyFill="1" applyBorder="1" applyAlignment="1">
      <alignment horizontal="center" vertical="center"/>
    </xf>
    <xf numFmtId="4" fontId="62" fillId="11" borderId="76" xfId="0" applyNumberFormat="1" applyFont="1" applyFill="1" applyBorder="1" applyAlignment="1">
      <alignment horizontal="right" vertical="center"/>
    </xf>
    <xf numFmtId="0" fontId="65" fillId="49" borderId="28" xfId="0" applyFont="1" applyFill="1" applyBorder="1" applyAlignment="1">
      <alignment vertical="center"/>
    </xf>
    <xf numFmtId="4" fontId="65" fillId="0" borderId="77" xfId="0" applyNumberFormat="1" applyFont="1" applyBorder="1" applyAlignment="1">
      <alignment horizontal="right" vertical="center"/>
    </xf>
    <xf numFmtId="4" fontId="65" fillId="0" borderId="77" xfId="0" applyNumberFormat="1" applyFont="1" applyFill="1" applyBorder="1" applyAlignment="1">
      <alignment horizontal="right" vertical="center"/>
    </xf>
    <xf numFmtId="49" fontId="62" fillId="11" borderId="26" xfId="0" applyNumberFormat="1" applyFont="1" applyFill="1" applyBorder="1" applyAlignment="1">
      <alignment horizontal="center" vertical="center"/>
    </xf>
    <xf numFmtId="4" fontId="27" fillId="11" borderId="77" xfId="0" applyNumberFormat="1" applyFont="1" applyFill="1" applyBorder="1" applyAlignment="1">
      <alignment horizontal="right" vertical="center"/>
    </xf>
    <xf numFmtId="49" fontId="65" fillId="0" borderId="28" xfId="0" applyNumberFormat="1" applyFont="1" applyFill="1" applyBorder="1" applyAlignment="1">
      <alignment horizontal="center" vertical="center"/>
    </xf>
    <xf numFmtId="4" fontId="65" fillId="0" borderId="76" xfId="0" applyNumberFormat="1" applyFont="1" applyFill="1" applyBorder="1" applyAlignment="1">
      <alignment horizontal="right" vertical="center"/>
    </xf>
    <xf numFmtId="49" fontId="62" fillId="0" borderId="26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62" fillId="0" borderId="78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0" fontId="65" fillId="49" borderId="11" xfId="0" applyFont="1" applyFill="1" applyBorder="1" applyAlignment="1">
      <alignment vertical="center" wrapText="1"/>
    </xf>
    <xf numFmtId="4" fontId="65" fillId="0" borderId="79" xfId="0" applyNumberFormat="1" applyFont="1" applyBorder="1" applyAlignment="1">
      <alignment horizontal="right" vertical="center"/>
    </xf>
    <xf numFmtId="0" fontId="27" fillId="3" borderId="36" xfId="0" applyFont="1" applyFill="1" applyBorder="1" applyAlignment="1">
      <alignment horizontal="center" vertical="center"/>
    </xf>
    <xf numFmtId="0" fontId="62" fillId="3" borderId="73" xfId="0" applyFont="1" applyFill="1" applyBorder="1" applyAlignment="1">
      <alignment vertical="center"/>
    </xf>
    <xf numFmtId="4" fontId="27" fillId="3" borderId="80" xfId="0" applyNumberFormat="1" applyFont="1" applyFill="1" applyBorder="1" applyAlignment="1">
      <alignment horizontal="right" vertical="center"/>
    </xf>
    <xf numFmtId="0" fontId="65" fillId="21" borderId="42" xfId="0" applyFont="1" applyFill="1" applyBorder="1" applyAlignment="1">
      <alignment horizontal="center" vertical="center"/>
    </xf>
    <xf numFmtId="0" fontId="62" fillId="21" borderId="25" xfId="0" applyFont="1" applyFill="1" applyBorder="1" applyAlignment="1">
      <alignment vertical="center"/>
    </xf>
    <xf numFmtId="4" fontId="27" fillId="21" borderId="76" xfId="0" applyNumberFormat="1" applyFont="1" applyFill="1" applyBorder="1" applyAlignment="1">
      <alignment horizontal="right" vertical="center"/>
    </xf>
    <xf numFmtId="0" fontId="65" fillId="19" borderId="23" xfId="0" applyFont="1" applyFill="1" applyBorder="1" applyAlignment="1">
      <alignment horizontal="center" vertical="center"/>
    </xf>
    <xf numFmtId="0" fontId="62" fillId="19" borderId="81" xfId="0" applyFont="1" applyFill="1" applyBorder="1" applyAlignment="1">
      <alignment vertical="center"/>
    </xf>
    <xf numFmtId="4" fontId="27" fillId="19" borderId="82" xfId="0" applyNumberFormat="1" applyFont="1" applyFill="1" applyBorder="1" applyAlignment="1">
      <alignment horizontal="right" vertical="center"/>
    </xf>
    <xf numFmtId="0" fontId="65" fillId="56" borderId="36" xfId="0" applyFont="1" applyFill="1" applyBorder="1" applyAlignment="1">
      <alignment horizontal="center" vertical="center"/>
    </xf>
    <xf numFmtId="4" fontId="27" fillId="56" borderId="80" xfId="0" applyNumberFormat="1" applyFont="1" applyFill="1" applyBorder="1" applyAlignment="1">
      <alignment horizontal="right" vertical="center"/>
    </xf>
    <xf numFmtId="0" fontId="65" fillId="0" borderId="83" xfId="0" applyFont="1" applyBorder="1" applyAlignment="1">
      <alignment horizontal="left" vertical="center" wrapText="1"/>
    </xf>
    <xf numFmtId="0" fontId="65" fillId="0" borderId="64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84" xfId="0" applyFont="1" applyFill="1" applyBorder="1" applyAlignment="1">
      <alignment horizontal="left" vertical="center" wrapText="1"/>
    </xf>
    <xf numFmtId="49" fontId="30" fillId="26" borderId="74" xfId="0" applyNumberFormat="1" applyFont="1" applyFill="1" applyBorder="1" applyAlignment="1">
      <alignment horizontal="center" vertical="center"/>
    </xf>
    <xf numFmtId="49" fontId="30" fillId="35" borderId="25" xfId="0" applyNumberFormat="1" applyFont="1" applyFill="1" applyBorder="1" applyAlignment="1">
      <alignment horizontal="center" vertical="center"/>
    </xf>
    <xf numFmtId="49" fontId="30" fillId="49" borderId="25" xfId="0" applyNumberFormat="1" applyFont="1" applyFill="1" applyBorder="1" applyAlignment="1">
      <alignment horizontal="center" vertical="center"/>
    </xf>
    <xf numFmtId="49" fontId="45" fillId="49" borderId="25" xfId="0" applyNumberFormat="1" applyFont="1" applyFill="1" applyBorder="1" applyAlignment="1">
      <alignment horizontal="center" vertical="center"/>
    </xf>
    <xf numFmtId="49" fontId="45" fillId="49" borderId="28" xfId="0" applyNumberFormat="1" applyFont="1" applyFill="1" applyBorder="1" applyAlignment="1">
      <alignment horizontal="center" vertical="center"/>
    </xf>
    <xf numFmtId="49" fontId="45" fillId="0" borderId="26" xfId="0" applyNumberFormat="1" applyFont="1" applyBorder="1" applyAlignment="1">
      <alignment horizontal="center" vertical="center"/>
    </xf>
    <xf numFmtId="49" fontId="45" fillId="0" borderId="28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45" fillId="0" borderId="26" xfId="0" applyNumberFormat="1" applyFont="1" applyFill="1" applyBorder="1" applyAlignment="1">
      <alignment horizontal="center" vertical="center"/>
    </xf>
    <xf numFmtId="49" fontId="45" fillId="0" borderId="28" xfId="0" applyNumberFormat="1" applyFont="1" applyFill="1" applyBorder="1" applyAlignment="1">
      <alignment horizontal="center" vertical="center"/>
    </xf>
    <xf numFmtId="49" fontId="28" fillId="0" borderId="81" xfId="0" applyNumberFormat="1" applyFont="1" applyFill="1" applyBorder="1" applyAlignment="1">
      <alignment horizontal="center" vertical="center"/>
    </xf>
    <xf numFmtId="49" fontId="45" fillId="0" borderId="81" xfId="0" applyNumberFormat="1" applyFont="1" applyFill="1" applyBorder="1" applyAlignment="1">
      <alignment horizontal="center" vertical="center"/>
    </xf>
    <xf numFmtId="49" fontId="28" fillId="0" borderId="81" xfId="0" applyNumberFormat="1" applyFont="1" applyBorder="1" applyAlignment="1">
      <alignment horizontal="center" vertical="center"/>
    </xf>
    <xf numFmtId="49" fontId="45" fillId="0" borderId="8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30" fillId="35" borderId="78" xfId="0" applyNumberFormat="1" applyFont="1" applyFill="1" applyBorder="1" applyAlignment="1">
      <alignment horizontal="center" vertical="center"/>
    </xf>
    <xf numFmtId="49" fontId="45" fillId="0" borderId="85" xfId="0" applyNumberFormat="1" applyFont="1" applyFill="1" applyBorder="1" applyAlignment="1">
      <alignment horizontal="center" vertical="center"/>
    </xf>
    <xf numFmtId="49" fontId="28" fillId="0" borderId="85" xfId="0" applyNumberFormat="1" applyFont="1" applyFill="1" applyBorder="1" applyAlignment="1">
      <alignment horizontal="center" vertical="center"/>
    </xf>
    <xf numFmtId="49" fontId="30" fillId="49" borderId="62" xfId="0" applyNumberFormat="1" applyFont="1" applyFill="1" applyBorder="1" applyAlignment="1">
      <alignment horizontal="center" vertical="center"/>
    </xf>
    <xf numFmtId="49" fontId="45" fillId="49" borderId="62" xfId="0" applyNumberFormat="1" applyFont="1" applyFill="1" applyBorder="1" applyAlignment="1">
      <alignment horizontal="center" vertical="center"/>
    </xf>
    <xf numFmtId="49" fontId="28" fillId="49" borderId="86" xfId="0" applyNumberFormat="1" applyFont="1" applyFill="1" applyBorder="1" applyAlignment="1">
      <alignment horizontal="center" vertical="center"/>
    </xf>
    <xf numFmtId="49" fontId="28" fillId="49" borderId="25" xfId="0" applyNumberFormat="1" applyFont="1" applyFill="1" applyBorder="1" applyAlignment="1">
      <alignment horizontal="center" vertical="center"/>
    </xf>
    <xf numFmtId="49" fontId="30" fillId="49" borderId="87" xfId="0" applyNumberFormat="1" applyFont="1" applyFill="1" applyBorder="1" applyAlignment="1">
      <alignment horizontal="center" vertical="center"/>
    </xf>
    <xf numFmtId="49" fontId="45" fillId="49" borderId="87" xfId="0" applyNumberFormat="1" applyFont="1" applyFill="1" applyBorder="1" applyAlignment="1">
      <alignment horizontal="center" vertical="center"/>
    </xf>
    <xf numFmtId="49" fontId="45" fillId="0" borderId="88" xfId="0" applyNumberFormat="1" applyFont="1" applyBorder="1" applyAlignment="1">
      <alignment horizontal="center" vertical="center"/>
    </xf>
    <xf numFmtId="49" fontId="45" fillId="0" borderId="86" xfId="0" applyNumberFormat="1" applyFont="1" applyBorder="1" applyAlignment="1">
      <alignment horizontal="center" vertical="center"/>
    </xf>
    <xf numFmtId="49" fontId="31" fillId="49" borderId="28" xfId="0" applyNumberFormat="1" applyFont="1" applyFill="1" applyBorder="1" applyAlignment="1">
      <alignment horizontal="center" vertical="center"/>
    </xf>
    <xf numFmtId="49" fontId="30" fillId="49" borderId="78" xfId="0" applyNumberFormat="1" applyFont="1" applyFill="1" applyBorder="1" applyAlignment="1">
      <alignment horizontal="center" vertical="center"/>
    </xf>
    <xf numFmtId="49" fontId="28" fillId="49" borderId="11" xfId="0" applyNumberFormat="1" applyFont="1" applyFill="1" applyBorder="1" applyAlignment="1">
      <alignment horizontal="center" vertical="center"/>
    </xf>
    <xf numFmtId="49" fontId="30" fillId="35" borderId="73" xfId="0" applyNumberFormat="1" applyFont="1" applyFill="1" applyBorder="1" applyAlignment="1">
      <alignment horizontal="center" vertical="center"/>
    </xf>
    <xf numFmtId="49" fontId="30" fillId="49" borderId="85" xfId="0" applyNumberFormat="1" applyFont="1" applyFill="1" applyBorder="1" applyAlignment="1">
      <alignment horizontal="center" vertical="center"/>
    </xf>
    <xf numFmtId="49" fontId="45" fillId="49" borderId="85" xfId="0" applyNumberFormat="1" applyFont="1" applyFill="1" applyBorder="1" applyAlignment="1">
      <alignment horizontal="center" vertical="center"/>
    </xf>
    <xf numFmtId="49" fontId="45" fillId="0" borderId="89" xfId="0" applyNumberFormat="1" applyFont="1" applyBorder="1" applyAlignment="1">
      <alignment horizontal="center" vertical="center"/>
    </xf>
    <xf numFmtId="49" fontId="30" fillId="49" borderId="26" xfId="0" applyNumberFormat="1" applyFont="1" applyFill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49" borderId="26" xfId="0" applyNumberFormat="1" applyFont="1" applyFill="1" applyBorder="1" applyAlignment="1">
      <alignment horizontal="center" vertical="center"/>
    </xf>
    <xf numFmtId="49" fontId="45" fillId="49" borderId="11" xfId="0" applyNumberFormat="1" applyFont="1" applyFill="1" applyBorder="1" applyAlignment="1">
      <alignment horizontal="center" vertical="center"/>
    </xf>
    <xf numFmtId="49" fontId="45" fillId="49" borderId="17" xfId="0" applyNumberFormat="1" applyFont="1" applyFill="1" applyBorder="1" applyAlignment="1">
      <alignment horizontal="center" vertical="center"/>
    </xf>
    <xf numFmtId="49" fontId="45" fillId="0" borderId="78" xfId="0" applyNumberFormat="1" applyFont="1" applyBorder="1" applyAlignment="1">
      <alignment horizontal="center" vertical="center"/>
    </xf>
    <xf numFmtId="49" fontId="31" fillId="49" borderId="78" xfId="0" applyNumberFormat="1" applyFont="1" applyFill="1" applyBorder="1" applyAlignment="1">
      <alignment horizontal="center" vertical="center"/>
    </xf>
    <xf numFmtId="49" fontId="30" fillId="35" borderId="85" xfId="0" applyNumberFormat="1" applyFont="1" applyFill="1" applyBorder="1" applyAlignment="1">
      <alignment horizontal="center" vertical="center"/>
    </xf>
    <xf numFmtId="49" fontId="30" fillId="49" borderId="90" xfId="0" applyNumberFormat="1" applyFont="1" applyFill="1" applyBorder="1" applyAlignment="1">
      <alignment horizontal="center" vertical="center"/>
    </xf>
    <xf numFmtId="49" fontId="45" fillId="49" borderId="18" xfId="0" applyNumberFormat="1" applyFont="1" applyFill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45" fillId="0" borderId="25" xfId="0" applyNumberFormat="1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center" vertical="center"/>
    </xf>
    <xf numFmtId="49" fontId="30" fillId="49" borderId="42" xfId="0" applyNumberFormat="1" applyFont="1" applyFill="1" applyBorder="1" applyAlignment="1">
      <alignment horizontal="center" vertical="center"/>
    </xf>
    <xf numFmtId="49" fontId="30" fillId="49" borderId="49" xfId="0" applyNumberFormat="1" applyFont="1" applyFill="1" applyBorder="1" applyAlignment="1">
      <alignment horizontal="center" vertical="center"/>
    </xf>
    <xf numFmtId="49" fontId="45" fillId="49" borderId="91" xfId="0" applyNumberFormat="1" applyFont="1" applyFill="1" applyBorder="1" applyAlignment="1">
      <alignment horizontal="center" vertical="center"/>
    </xf>
    <xf numFmtId="49" fontId="45" fillId="0" borderId="91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28" fillId="0" borderId="89" xfId="0" applyNumberFormat="1" applyFont="1" applyBorder="1" applyAlignment="1">
      <alignment horizontal="center" vertical="center"/>
    </xf>
    <xf numFmtId="49" fontId="30" fillId="0" borderId="89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49" borderId="28" xfId="0" applyNumberFormat="1" applyFont="1" applyFill="1" applyBorder="1" applyAlignment="1">
      <alignment horizontal="center" vertical="center"/>
    </xf>
    <xf numFmtId="49" fontId="30" fillId="49" borderId="28" xfId="0" applyNumberFormat="1" applyFont="1" applyFill="1" applyBorder="1" applyAlignment="1">
      <alignment horizontal="center" vertical="center"/>
    </xf>
    <xf numFmtId="49" fontId="30" fillId="0" borderId="81" xfId="0" applyNumberFormat="1" applyFont="1" applyFill="1" applyBorder="1" applyAlignment="1">
      <alignment horizontal="center" vertical="center"/>
    </xf>
    <xf numFmtId="49" fontId="28" fillId="0" borderId="58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78" xfId="0" applyNumberFormat="1" applyFont="1" applyFill="1" applyBorder="1" applyAlignment="1">
      <alignment horizontal="center" vertical="center"/>
    </xf>
    <xf numFmtId="49" fontId="28" fillId="0" borderId="78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49" fontId="30" fillId="49" borderId="81" xfId="0" applyNumberFormat="1" applyFont="1" applyFill="1" applyBorder="1" applyAlignment="1">
      <alignment horizontal="center" vertical="center"/>
    </xf>
    <xf numFmtId="49" fontId="28" fillId="49" borderId="26" xfId="0" applyNumberFormat="1" applyFont="1" applyFill="1" applyBorder="1" applyAlignment="1">
      <alignment horizontal="center" vertical="center"/>
    </xf>
    <xf numFmtId="16" fontId="28" fillId="52" borderId="42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left" vertical="center"/>
    </xf>
    <xf numFmtId="4" fontId="22" fillId="21" borderId="76" xfId="0" applyNumberFormat="1" applyFont="1" applyFill="1" applyBorder="1" applyAlignment="1">
      <alignment horizontal="right" vertical="center"/>
    </xf>
    <xf numFmtId="4" fontId="22" fillId="19" borderId="82" xfId="0" applyNumberFormat="1" applyFont="1" applyFill="1" applyBorder="1" applyAlignment="1">
      <alignment horizontal="right" vertical="center"/>
    </xf>
    <xf numFmtId="4" fontId="22" fillId="56" borderId="80" xfId="0" applyNumberFormat="1" applyFont="1" applyFill="1" applyBorder="1" applyAlignment="1">
      <alignment horizontal="right" vertical="center"/>
    </xf>
    <xf numFmtId="0" fontId="65" fillId="7" borderId="56" xfId="0" applyFont="1" applyFill="1" applyBorder="1" applyAlignment="1">
      <alignment vertical="center"/>
    </xf>
    <xf numFmtId="49" fontId="62" fillId="35" borderId="17" xfId="0" applyNumberFormat="1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vertical="center"/>
    </xf>
    <xf numFmtId="49" fontId="65" fillId="0" borderId="26" xfId="0" applyNumberFormat="1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vertical="center"/>
    </xf>
    <xf numFmtId="0" fontId="65" fillId="0" borderId="28" xfId="0" applyFont="1" applyFill="1" applyBorder="1" applyAlignment="1">
      <alignment horizontal="center" vertical="center"/>
    </xf>
    <xf numFmtId="49" fontId="87" fillId="0" borderId="57" xfId="0" applyNumberFormat="1" applyFont="1" applyFill="1" applyBorder="1" applyAlignment="1">
      <alignment horizontal="center" vertical="center"/>
    </xf>
    <xf numFmtId="0" fontId="65" fillId="0" borderId="64" xfId="0" applyFont="1" applyBorder="1" applyAlignment="1">
      <alignment vertical="center" wrapText="1"/>
    </xf>
    <xf numFmtId="0" fontId="65" fillId="0" borderId="64" xfId="0" applyFont="1" applyBorder="1" applyAlignment="1">
      <alignment vertical="center" wrapText="1"/>
    </xf>
    <xf numFmtId="0" fontId="33" fillId="52" borderId="48" xfId="0" applyFont="1" applyFill="1" applyBorder="1" applyAlignment="1">
      <alignment horizontal="center" vertical="center"/>
    </xf>
    <xf numFmtId="49" fontId="65" fillId="0" borderId="30" xfId="0" applyNumberFormat="1" applyFont="1" applyFill="1" applyBorder="1" applyAlignment="1">
      <alignment horizontal="center" vertical="center"/>
    </xf>
    <xf numFmtId="0" fontId="65" fillId="49" borderId="83" xfId="0" applyFont="1" applyFill="1" applyBorder="1" applyAlignment="1">
      <alignment vertical="center"/>
    </xf>
    <xf numFmtId="0" fontId="65" fillId="49" borderId="64" xfId="0" applyFont="1" applyFill="1" applyBorder="1" applyAlignment="1">
      <alignment horizontal="left" vertical="center" wrapText="1"/>
    </xf>
    <xf numFmtId="0" fontId="27" fillId="7" borderId="65" xfId="0" applyFont="1" applyFill="1" applyBorder="1" applyAlignment="1">
      <alignment vertical="center"/>
    </xf>
    <xf numFmtId="4" fontId="62" fillId="7" borderId="24" xfId="0" applyNumberFormat="1" applyFont="1" applyFill="1" applyBorder="1" applyAlignment="1">
      <alignment vertical="center"/>
    </xf>
    <xf numFmtId="49" fontId="62" fillId="35" borderId="57" xfId="0" applyNumberFormat="1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4" fontId="65" fillId="0" borderId="92" xfId="0" applyNumberFormat="1" applyFont="1" applyFill="1" applyBorder="1" applyAlignment="1">
      <alignment horizontal="right" vertical="center"/>
    </xf>
    <xf numFmtId="0" fontId="62" fillId="35" borderId="26" xfId="0" applyFont="1" applyFill="1" applyBorder="1" applyAlignment="1">
      <alignment vertical="center"/>
    </xf>
    <xf numFmtId="0" fontId="65" fillId="35" borderId="13" xfId="0" applyFont="1" applyFill="1" applyBorder="1" applyAlignment="1">
      <alignment vertical="center"/>
    </xf>
    <xf numFmtId="4" fontId="27" fillId="35" borderId="29" xfId="0" applyNumberFormat="1" applyFont="1" applyFill="1" applyBorder="1" applyAlignment="1">
      <alignment vertical="center"/>
    </xf>
    <xf numFmtId="4" fontId="65" fillId="0" borderId="29" xfId="0" applyNumberFormat="1" applyFont="1" applyFill="1" applyBorder="1" applyAlignment="1">
      <alignment vertical="center"/>
    </xf>
    <xf numFmtId="4" fontId="65" fillId="0" borderId="14" xfId="0" applyNumberFormat="1" applyFont="1" applyFill="1" applyBorder="1" applyAlignment="1">
      <alignment vertical="center"/>
    </xf>
    <xf numFmtId="1" fontId="33" fillId="50" borderId="43" xfId="0" applyNumberFormat="1" applyFont="1" applyFill="1" applyBorder="1" applyAlignment="1">
      <alignment horizontal="center" vertical="center"/>
    </xf>
    <xf numFmtId="4" fontId="27" fillId="14" borderId="92" xfId="0" applyNumberFormat="1" applyFont="1" applyFill="1" applyBorder="1" applyAlignment="1">
      <alignment vertical="center"/>
    </xf>
    <xf numFmtId="0" fontId="65" fillId="49" borderId="28" xfId="0" applyFont="1" applyFill="1" applyBorder="1" applyAlignment="1">
      <alignment horizontal="center" vertical="center"/>
    </xf>
    <xf numFmtId="49" fontId="87" fillId="49" borderId="26" xfId="0" applyNumberFormat="1" applyFont="1" applyFill="1" applyBorder="1" applyAlignment="1">
      <alignment horizontal="center" vertical="center"/>
    </xf>
    <xf numFmtId="4" fontId="65" fillId="49" borderId="27" xfId="0" applyNumberFormat="1" applyFont="1" applyFill="1" applyBorder="1" applyAlignment="1">
      <alignment horizontal="right" vertical="center"/>
    </xf>
    <xf numFmtId="4" fontId="65" fillId="49" borderId="92" xfId="0" applyNumberFormat="1" applyFont="1" applyFill="1" applyBorder="1" applyAlignment="1">
      <alignment horizontal="right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83" xfId="0" applyFont="1" applyFill="1" applyBorder="1" applyAlignment="1">
      <alignment vertical="center" wrapText="1"/>
    </xf>
    <xf numFmtId="4" fontId="65" fillId="0" borderId="93" xfId="0" applyNumberFormat="1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left" vertical="center" wrapText="1"/>
    </xf>
    <xf numFmtId="0" fontId="65" fillId="0" borderId="64" xfId="0" applyFont="1" applyFill="1" applyBorder="1" applyAlignment="1">
      <alignment horizontal="left" vertical="center" wrapText="1"/>
    </xf>
    <xf numFmtId="0" fontId="33" fillId="52" borderId="42" xfId="0" applyFont="1" applyFill="1" applyBorder="1" applyAlignment="1">
      <alignment horizontal="center"/>
    </xf>
    <xf numFmtId="0" fontId="65" fillId="7" borderId="56" xfId="0" applyFont="1" applyFill="1" applyBorder="1" applyAlignment="1">
      <alignment/>
    </xf>
    <xf numFmtId="4" fontId="62" fillId="7" borderId="24" xfId="0" applyNumberFormat="1" applyFont="1" applyFill="1" applyBorder="1" applyAlignment="1">
      <alignment/>
    </xf>
    <xf numFmtId="4" fontId="62" fillId="7" borderId="52" xfId="0" applyNumberFormat="1" applyFont="1" applyFill="1" applyBorder="1" applyAlignment="1">
      <alignment/>
    </xf>
    <xf numFmtId="0" fontId="62" fillId="14" borderId="25" xfId="0" applyFont="1" applyFill="1" applyBorder="1" applyAlignment="1">
      <alignment horizontal="center"/>
    </xf>
    <xf numFmtId="0" fontId="62" fillId="14" borderId="64" xfId="0" applyFont="1" applyFill="1" applyBorder="1" applyAlignment="1">
      <alignment/>
    </xf>
    <xf numFmtId="0" fontId="65" fillId="14" borderId="64" xfId="0" applyFont="1" applyFill="1" applyBorder="1" applyAlignment="1">
      <alignment/>
    </xf>
    <xf numFmtId="4" fontId="27" fillId="14" borderId="21" xfId="0" applyNumberFormat="1" applyFont="1" applyFill="1" applyBorder="1" applyAlignment="1">
      <alignment/>
    </xf>
    <xf numFmtId="49" fontId="62" fillId="35" borderId="26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/>
    </xf>
    <xf numFmtId="0" fontId="27" fillId="35" borderId="38" xfId="0" applyFont="1" applyFill="1" applyBorder="1" applyAlignment="1">
      <alignment/>
    </xf>
    <xf numFmtId="4" fontId="27" fillId="35" borderId="27" xfId="0" applyNumberFormat="1" applyFont="1" applyFill="1" applyBorder="1" applyAlignment="1">
      <alignment horizontal="right"/>
    </xf>
    <xf numFmtId="0" fontId="87" fillId="0" borderId="13" xfId="0" applyFont="1" applyFill="1" applyBorder="1" applyAlignment="1">
      <alignment horizontal="center" vertical="center"/>
    </xf>
    <xf numFmtId="0" fontId="65" fillId="50" borderId="77" xfId="0" applyFont="1" applyFill="1" applyBorder="1" applyAlignment="1">
      <alignment vertical="center" wrapText="1"/>
    </xf>
    <xf numFmtId="4" fontId="65" fillId="50" borderId="92" xfId="0" applyNumberFormat="1" applyFont="1" applyFill="1" applyBorder="1" applyAlignment="1">
      <alignment horizontal="right" vertical="center"/>
    </xf>
    <xf numFmtId="0" fontId="33" fillId="52" borderId="43" xfId="0" applyFont="1" applyFill="1" applyBorder="1" applyAlignment="1">
      <alignment horizontal="center"/>
    </xf>
    <xf numFmtId="0" fontId="62" fillId="14" borderId="26" xfId="0" applyFont="1" applyFill="1" applyBorder="1" applyAlignment="1">
      <alignment horizontal="center"/>
    </xf>
    <xf numFmtId="0" fontId="62" fillId="14" borderId="13" xfId="0" applyFont="1" applyFill="1" applyBorder="1" applyAlignment="1">
      <alignment/>
    </xf>
    <xf numFmtId="0" fontId="65" fillId="14" borderId="13" xfId="0" applyFont="1" applyFill="1" applyBorder="1" applyAlignment="1">
      <alignment/>
    </xf>
    <xf numFmtId="4" fontId="27" fillId="14" borderId="27" xfId="0" applyNumberFormat="1" applyFont="1" applyFill="1" applyBorder="1" applyAlignment="1">
      <alignment/>
    </xf>
    <xf numFmtId="4" fontId="27" fillId="14" borderId="92" xfId="0" applyNumberFormat="1" applyFont="1" applyFill="1" applyBorder="1" applyAlignment="1">
      <alignment/>
    </xf>
    <xf numFmtId="4" fontId="27" fillId="35" borderId="92" xfId="0" applyNumberFormat="1" applyFont="1" applyFill="1" applyBorder="1" applyAlignment="1">
      <alignment horizontal="right"/>
    </xf>
    <xf numFmtId="49" fontId="33" fillId="52" borderId="48" xfId="0" applyNumberFormat="1" applyFont="1" applyFill="1" applyBorder="1" applyAlignment="1">
      <alignment horizontal="center"/>
    </xf>
    <xf numFmtId="0" fontId="65" fillId="49" borderId="91" xfId="0" applyFont="1" applyFill="1" applyBorder="1" applyAlignment="1">
      <alignment horizontal="center"/>
    </xf>
    <xf numFmtId="49" fontId="87" fillId="49" borderId="30" xfId="0" applyNumberFormat="1" applyFont="1" applyFill="1" applyBorder="1" applyAlignment="1">
      <alignment horizontal="center"/>
    </xf>
    <xf numFmtId="0" fontId="65" fillId="49" borderId="83" xfId="0" applyFont="1" applyFill="1" applyBorder="1" applyAlignment="1">
      <alignment/>
    </xf>
    <xf numFmtId="4" fontId="65" fillId="49" borderId="34" xfId="0" applyNumberFormat="1" applyFont="1" applyFill="1" applyBorder="1" applyAlignment="1">
      <alignment horizontal="right"/>
    </xf>
    <xf numFmtId="4" fontId="65" fillId="49" borderId="93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3" fontId="33" fillId="52" borderId="43" xfId="0" applyNumberFormat="1" applyFont="1" applyFill="1" applyBorder="1" applyAlignment="1">
      <alignment horizontal="center" vertical="center"/>
    </xf>
    <xf numFmtId="4" fontId="27" fillId="7" borderId="65" xfId="0" applyNumberFormat="1" applyFont="1" applyFill="1" applyBorder="1" applyAlignment="1">
      <alignment horizontal="left" vertical="center"/>
    </xf>
    <xf numFmtId="4" fontId="27" fillId="7" borderId="65" xfId="0" applyNumberFormat="1" applyFont="1" applyFill="1" applyBorder="1" applyAlignment="1">
      <alignment vertical="center"/>
    </xf>
    <xf numFmtId="4" fontId="65" fillId="7" borderId="94" xfId="0" applyNumberFormat="1" applyFont="1" applyFill="1" applyBorder="1" applyAlignment="1">
      <alignment vertical="center"/>
    </xf>
    <xf numFmtId="4" fontId="62" fillId="7" borderId="24" xfId="0" applyNumberFormat="1" applyFont="1" applyFill="1" applyBorder="1" applyAlignment="1">
      <alignment horizontal="right" vertical="center"/>
    </xf>
    <xf numFmtId="49" fontId="62" fillId="14" borderId="26" xfId="0" applyNumberFormat="1" applyFont="1" applyFill="1" applyBorder="1" applyAlignment="1">
      <alignment horizontal="center" vertical="center"/>
    </xf>
    <xf numFmtId="4" fontId="62" fillId="14" borderId="13" xfId="0" applyNumberFormat="1" applyFont="1" applyFill="1" applyBorder="1" applyAlignment="1">
      <alignment vertical="center"/>
    </xf>
    <xf numFmtId="4" fontId="65" fillId="14" borderId="14" xfId="0" applyNumberFormat="1" applyFont="1" applyFill="1" applyBorder="1" applyAlignment="1">
      <alignment vertical="center"/>
    </xf>
    <xf numFmtId="4" fontId="27" fillId="14" borderId="27" xfId="0" applyNumberFormat="1" applyFont="1" applyFill="1" applyBorder="1" applyAlignment="1">
      <alignment horizontal="right" vertical="center"/>
    </xf>
    <xf numFmtId="4" fontId="62" fillId="35" borderId="17" xfId="0" applyNumberFormat="1" applyFont="1" applyFill="1" applyBorder="1" applyAlignment="1">
      <alignment horizontal="center" vertical="center"/>
    </xf>
    <xf numFmtId="4" fontId="27" fillId="35" borderId="26" xfId="0" applyNumberFormat="1" applyFont="1" applyFill="1" applyBorder="1" applyAlignment="1">
      <alignment vertical="center"/>
    </xf>
    <xf numFmtId="4" fontId="65" fillId="35" borderId="14" xfId="0" applyNumberFormat="1" applyFont="1" applyFill="1" applyBorder="1" applyAlignment="1">
      <alignment vertical="center"/>
    </xf>
    <xf numFmtId="4" fontId="65" fillId="49" borderId="28" xfId="0" applyNumberFormat="1" applyFont="1" applyFill="1" applyBorder="1" applyAlignment="1">
      <alignment horizontal="center" vertical="center"/>
    </xf>
    <xf numFmtId="3" fontId="87" fillId="49" borderId="57" xfId="0" applyNumberFormat="1" applyFont="1" applyFill="1" applyBorder="1" applyAlignment="1">
      <alignment horizontal="center" vertical="center"/>
    </xf>
    <xf numFmtId="4" fontId="65" fillId="49" borderId="14" xfId="0" applyNumberFormat="1" applyFont="1" applyFill="1" applyBorder="1" applyAlignment="1">
      <alignment vertical="center"/>
    </xf>
    <xf numFmtId="4" fontId="65" fillId="11" borderId="28" xfId="0" applyNumberFormat="1" applyFont="1" applyFill="1" applyBorder="1" applyAlignment="1">
      <alignment horizontal="center" vertical="center"/>
    </xf>
    <xf numFmtId="3" fontId="87" fillId="11" borderId="57" xfId="0" applyNumberFormat="1" applyFont="1" applyFill="1" applyBorder="1" applyAlignment="1">
      <alignment horizontal="center" vertical="center"/>
    </xf>
    <xf numFmtId="4" fontId="65" fillId="11" borderId="14" xfId="0" applyNumberFormat="1" applyFont="1" applyFill="1" applyBorder="1" applyAlignment="1">
      <alignment vertical="center" wrapText="1"/>
    </xf>
    <xf numFmtId="4" fontId="65" fillId="11" borderId="27" xfId="0" applyNumberFormat="1" applyFont="1" applyFill="1" applyBorder="1" applyAlignment="1">
      <alignment horizontal="right" vertical="center"/>
    </xf>
    <xf numFmtId="4" fontId="65" fillId="0" borderId="28" xfId="0" applyNumberFormat="1" applyFont="1" applyFill="1" applyBorder="1" applyAlignment="1">
      <alignment horizontal="center" vertical="center"/>
    </xf>
    <xf numFmtId="3" fontId="87" fillId="0" borderId="57" xfId="0" applyNumberFormat="1" applyFont="1" applyFill="1" applyBorder="1" applyAlignment="1">
      <alignment horizontal="center" vertical="center"/>
    </xf>
    <xf numFmtId="4" fontId="65" fillId="0" borderId="14" xfId="0" applyNumberFormat="1" applyFont="1" applyFill="1" applyBorder="1" applyAlignment="1">
      <alignment vertical="center" wrapText="1"/>
    </xf>
    <xf numFmtId="4" fontId="65" fillId="0" borderId="26" xfId="0" applyNumberFormat="1" applyFont="1" applyFill="1" applyBorder="1" applyAlignment="1">
      <alignment horizontal="center" vertical="center"/>
    </xf>
    <xf numFmtId="4" fontId="65" fillId="49" borderId="92" xfId="0" applyNumberFormat="1" applyFont="1" applyFill="1" applyBorder="1" applyAlignment="1">
      <alignment vertical="center"/>
    </xf>
    <xf numFmtId="4" fontId="65" fillId="0" borderId="77" xfId="0" applyNumberFormat="1" applyFont="1" applyFill="1" applyBorder="1" applyAlignment="1">
      <alignment vertical="center" wrapText="1"/>
    </xf>
    <xf numFmtId="4" fontId="65" fillId="0" borderId="81" xfId="0" applyNumberFormat="1" applyFont="1" applyFill="1" applyBorder="1" applyAlignment="1">
      <alignment horizontal="center" vertical="center"/>
    </xf>
    <xf numFmtId="4" fontId="65" fillId="0" borderId="77" xfId="0" applyNumberFormat="1" applyFont="1" applyFill="1" applyBorder="1" applyAlignment="1">
      <alignment vertical="center"/>
    </xf>
    <xf numFmtId="4" fontId="65" fillId="49" borderId="26" xfId="0" applyNumberFormat="1" applyFont="1" applyFill="1" applyBorder="1" applyAlignment="1">
      <alignment horizontal="center" vertical="center"/>
    </xf>
    <xf numFmtId="3" fontId="87" fillId="49" borderId="17" xfId="0" applyNumberFormat="1" applyFont="1" applyFill="1" applyBorder="1" applyAlignment="1">
      <alignment horizontal="center" vertical="center"/>
    </xf>
    <xf numFmtId="4" fontId="65" fillId="49" borderId="29" xfId="0" applyNumberFormat="1" applyFont="1" applyFill="1" applyBorder="1" applyAlignment="1">
      <alignment horizontal="right" vertical="center"/>
    </xf>
    <xf numFmtId="3" fontId="87" fillId="49" borderId="26" xfId="0" applyNumberFormat="1" applyFont="1" applyFill="1" applyBorder="1" applyAlignment="1">
      <alignment horizontal="center" vertical="center"/>
    </xf>
    <xf numFmtId="4" fontId="65" fillId="49" borderId="77" xfId="0" applyNumberFormat="1" applyFont="1" applyFill="1" applyBorder="1" applyAlignment="1">
      <alignment vertical="center"/>
    </xf>
    <xf numFmtId="3" fontId="33" fillId="52" borderId="23" xfId="0" applyNumberFormat="1" applyFont="1" applyFill="1" applyBorder="1" applyAlignment="1">
      <alignment horizontal="center" vertical="center"/>
    </xf>
    <xf numFmtId="4" fontId="65" fillId="49" borderId="81" xfId="0" applyNumberFormat="1" applyFont="1" applyFill="1" applyBorder="1" applyAlignment="1">
      <alignment horizontal="center" vertical="center"/>
    </xf>
    <xf numFmtId="3" fontId="87" fillId="49" borderId="81" xfId="0" applyNumberFormat="1" applyFont="1" applyFill="1" applyBorder="1" applyAlignment="1">
      <alignment horizontal="center" vertical="center"/>
    </xf>
    <xf numFmtId="4" fontId="65" fillId="49" borderId="69" xfId="0" applyNumberFormat="1" applyFont="1" applyFill="1" applyBorder="1" applyAlignment="1">
      <alignment vertical="center"/>
    </xf>
    <xf numFmtId="3" fontId="33" fillId="52" borderId="48" xfId="0" applyNumberFormat="1" applyFont="1" applyFill="1" applyBorder="1" applyAlignment="1">
      <alignment horizontal="center" vertical="center"/>
    </xf>
    <xf numFmtId="4" fontId="65" fillId="49" borderId="30" xfId="0" applyNumberFormat="1" applyFont="1" applyFill="1" applyBorder="1" applyAlignment="1">
      <alignment horizontal="center" vertical="center"/>
    </xf>
    <xf numFmtId="3" fontId="87" fillId="49" borderId="30" xfId="0" applyNumberFormat="1" applyFont="1" applyFill="1" applyBorder="1" applyAlignment="1">
      <alignment horizontal="center" vertical="center"/>
    </xf>
    <xf numFmtId="4" fontId="65" fillId="49" borderId="66" xfId="0" applyNumberFormat="1" applyFont="1" applyFill="1" applyBorder="1" applyAlignment="1">
      <alignment vertical="center" wrapText="1"/>
    </xf>
    <xf numFmtId="4" fontId="65" fillId="49" borderId="34" xfId="0" applyNumberFormat="1" applyFont="1" applyFill="1" applyBorder="1" applyAlignment="1">
      <alignment horizontal="right" vertical="center"/>
    </xf>
    <xf numFmtId="3" fontId="33" fillId="52" borderId="42" xfId="0" applyNumberFormat="1" applyFont="1" applyFill="1" applyBorder="1" applyAlignment="1">
      <alignment horizontal="center" vertical="center"/>
    </xf>
    <xf numFmtId="49" fontId="62" fillId="14" borderId="25" xfId="0" applyNumberFormat="1" applyFont="1" applyFill="1" applyBorder="1" applyAlignment="1">
      <alignment horizontal="center" vertical="center"/>
    </xf>
    <xf numFmtId="4" fontId="62" fillId="14" borderId="64" xfId="0" applyNumberFormat="1" applyFont="1" applyFill="1" applyBorder="1" applyAlignment="1">
      <alignment vertical="center"/>
    </xf>
    <xf numFmtId="4" fontId="65" fillId="14" borderId="64" xfId="0" applyNumberFormat="1" applyFont="1" applyFill="1" applyBorder="1" applyAlignment="1">
      <alignment vertical="center"/>
    </xf>
    <xf numFmtId="4" fontId="27" fillId="14" borderId="21" xfId="0" applyNumberFormat="1" applyFont="1" applyFill="1" applyBorder="1" applyAlignment="1">
      <alignment horizontal="right" vertical="center"/>
    </xf>
    <xf numFmtId="4" fontId="65" fillId="35" borderId="13" xfId="0" applyNumberFormat="1" applyFont="1" applyFill="1" applyBorder="1" applyAlignment="1">
      <alignment vertical="center"/>
    </xf>
    <xf numFmtId="4" fontId="65" fillId="0" borderId="30" xfId="0" applyNumberFormat="1" applyFont="1" applyFill="1" applyBorder="1" applyAlignment="1">
      <alignment horizontal="center" vertical="center"/>
    </xf>
    <xf numFmtId="3" fontId="87" fillId="0" borderId="95" xfId="0" applyNumberFormat="1" applyFont="1" applyFill="1" applyBorder="1" applyAlignment="1">
      <alignment horizontal="center" vertical="center"/>
    </xf>
    <xf numFmtId="4" fontId="65" fillId="0" borderId="83" xfId="0" applyNumberFormat="1" applyFont="1" applyFill="1" applyBorder="1" applyAlignment="1">
      <alignment vertical="center" wrapText="1"/>
    </xf>
    <xf numFmtId="4" fontId="65" fillId="14" borderId="13" xfId="0" applyNumberFormat="1" applyFont="1" applyFill="1" applyBorder="1" applyAlignment="1">
      <alignment vertical="center"/>
    </xf>
    <xf numFmtId="4" fontId="65" fillId="49" borderId="14" xfId="0" applyNumberFormat="1" applyFont="1" applyFill="1" applyBorder="1" applyAlignment="1">
      <alignment horizontal="left" vertical="center" wrapText="1"/>
    </xf>
    <xf numFmtId="4" fontId="65" fillId="49" borderId="77" xfId="0" applyNumberFormat="1" applyFont="1" applyFill="1" applyBorder="1" applyAlignment="1">
      <alignment horizontal="left" vertical="center" wrapText="1"/>
    </xf>
    <xf numFmtId="4" fontId="65" fillId="7" borderId="65" xfId="0" applyNumberFormat="1" applyFont="1" applyFill="1" applyBorder="1" applyAlignment="1">
      <alignment vertical="center"/>
    </xf>
    <xf numFmtId="4" fontId="65" fillId="49" borderId="17" xfId="0" applyNumberFormat="1" applyFont="1" applyFill="1" applyBorder="1" applyAlignment="1">
      <alignment horizontal="center" vertical="center"/>
    </xf>
    <xf numFmtId="4" fontId="65" fillId="49" borderId="13" xfId="0" applyNumberFormat="1" applyFont="1" applyFill="1" applyBorder="1" applyAlignment="1">
      <alignment vertical="center" wrapText="1"/>
    </xf>
    <xf numFmtId="4" fontId="65" fillId="49" borderId="95" xfId="0" applyNumberFormat="1" applyFont="1" applyFill="1" applyBorder="1" applyAlignment="1">
      <alignment horizontal="center" vertical="center"/>
    </xf>
    <xf numFmtId="3" fontId="87" fillId="49" borderId="95" xfId="0" applyNumberFormat="1" applyFont="1" applyFill="1" applyBorder="1" applyAlignment="1">
      <alignment horizontal="center" vertical="center"/>
    </xf>
    <xf numFmtId="4" fontId="65" fillId="49" borderId="13" xfId="0" applyNumberFormat="1" applyFont="1" applyFill="1" applyBorder="1" applyAlignment="1">
      <alignment horizontal="left" vertical="center" wrapText="1"/>
    </xf>
    <xf numFmtId="49" fontId="62" fillId="35" borderId="13" xfId="0" applyNumberFormat="1" applyFont="1" applyFill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49" fontId="62" fillId="0" borderId="64" xfId="0" applyNumberFormat="1" applyFont="1" applyFill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65" fillId="0" borderId="66" xfId="0" applyFont="1" applyFill="1" applyBorder="1" applyAlignment="1">
      <alignment vertical="center"/>
    </xf>
    <xf numFmtId="0" fontId="65" fillId="7" borderId="94" xfId="0" applyFont="1" applyFill="1" applyBorder="1" applyAlignment="1">
      <alignment vertical="center"/>
    </xf>
    <xf numFmtId="4" fontId="62" fillId="7" borderId="56" xfId="0" applyNumberFormat="1" applyFont="1" applyFill="1" applyBorder="1" applyAlignment="1">
      <alignment horizontal="right" vertical="center"/>
    </xf>
    <xf numFmtId="0" fontId="65" fillId="14" borderId="14" xfId="0" applyFont="1" applyFill="1" applyBorder="1" applyAlignment="1">
      <alignment vertical="center"/>
    </xf>
    <xf numFmtId="4" fontId="27" fillId="14" borderId="69" xfId="0" applyNumberFormat="1" applyFont="1" applyFill="1" applyBorder="1" applyAlignment="1">
      <alignment horizontal="right" vertical="center"/>
    </xf>
    <xf numFmtId="49" fontId="65" fillId="50" borderId="43" xfId="0" applyNumberFormat="1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/>
    </xf>
    <xf numFmtId="0" fontId="33" fillId="0" borderId="26" xfId="0" applyFont="1" applyBorder="1" applyAlignment="1">
      <alignment horizontal="center" vertical="center"/>
    </xf>
    <xf numFmtId="0" fontId="33" fillId="0" borderId="38" xfId="0" applyFont="1" applyBorder="1" applyAlignment="1">
      <alignment vertical="center" wrapText="1"/>
    </xf>
    <xf numFmtId="4" fontId="33" fillId="0" borderId="29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vertical="center"/>
    </xf>
    <xf numFmtId="4" fontId="33" fillId="0" borderId="29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49" fontId="62" fillId="35" borderId="64" xfId="0" applyNumberFormat="1" applyFont="1" applyFill="1" applyBorder="1" applyAlignment="1">
      <alignment horizontal="center" vertical="center"/>
    </xf>
    <xf numFmtId="4" fontId="65" fillId="35" borderId="96" xfId="0" applyNumberFormat="1" applyFont="1" applyFill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49" fontId="65" fillId="50" borderId="49" xfId="0" applyNumberFormat="1" applyFont="1" applyFill="1" applyBorder="1" applyAlignment="1">
      <alignment horizontal="center" vertical="center"/>
    </xf>
    <xf numFmtId="0" fontId="65" fillId="0" borderId="97" xfId="0" applyFont="1" applyFill="1" applyBorder="1" applyAlignment="1">
      <alignment/>
    </xf>
    <xf numFmtId="0" fontId="33" fillId="0" borderId="41" xfId="0" applyFont="1" applyBorder="1" applyAlignment="1">
      <alignment horizontal="center" vertical="center"/>
    </xf>
    <xf numFmtId="0" fontId="33" fillId="0" borderId="98" xfId="0" applyFont="1" applyBorder="1" applyAlignment="1">
      <alignment vertical="center" wrapText="1"/>
    </xf>
    <xf numFmtId="4" fontId="33" fillId="0" borderId="70" xfId="0" applyNumberFormat="1" applyFont="1" applyBorder="1" applyAlignment="1">
      <alignment horizontal="right" vertical="center"/>
    </xf>
    <xf numFmtId="4" fontId="33" fillId="0" borderId="98" xfId="0" applyNumberFormat="1" applyFont="1" applyBorder="1" applyAlignment="1">
      <alignment horizontal="right" vertical="center"/>
    </xf>
    <xf numFmtId="4" fontId="33" fillId="0" borderId="98" xfId="0" applyNumberFormat="1" applyFont="1" applyBorder="1" applyAlignment="1">
      <alignment vertical="center"/>
    </xf>
    <xf numFmtId="4" fontId="33" fillId="0" borderId="70" xfId="0" applyNumberFormat="1" applyFont="1" applyBorder="1" applyAlignment="1">
      <alignment vertical="center"/>
    </xf>
    <xf numFmtId="4" fontId="33" fillId="0" borderId="99" xfId="0" applyNumberFormat="1" applyFont="1" applyBorder="1" applyAlignment="1">
      <alignment vertical="center"/>
    </xf>
    <xf numFmtId="3" fontId="33" fillId="52" borderId="100" xfId="0" applyNumberFormat="1" applyFont="1" applyFill="1" applyBorder="1" applyAlignment="1">
      <alignment horizontal="center" vertical="center"/>
    </xf>
    <xf numFmtId="0" fontId="62" fillId="14" borderId="101" xfId="0" applyFont="1" applyFill="1" applyBorder="1" applyAlignment="1">
      <alignment horizontal="center" vertical="center"/>
    </xf>
    <xf numFmtId="4" fontId="27" fillId="14" borderId="72" xfId="0" applyNumberFormat="1" applyFont="1" applyFill="1" applyBorder="1" applyAlignment="1">
      <alignment horizontal="right" vertical="center"/>
    </xf>
    <xf numFmtId="4" fontId="27" fillId="14" borderId="22" xfId="0" applyNumberFormat="1" applyFont="1" applyFill="1" applyBorder="1" applyAlignment="1">
      <alignment horizontal="right" vertical="center"/>
    </xf>
    <xf numFmtId="4" fontId="62" fillId="7" borderId="63" xfId="0" applyNumberFormat="1" applyFont="1" applyFill="1" applyBorder="1" applyAlignment="1">
      <alignment/>
    </xf>
    <xf numFmtId="4" fontId="27" fillId="14" borderId="79" xfId="0" applyNumberFormat="1" applyFont="1" applyFill="1" applyBorder="1" applyAlignment="1">
      <alignment/>
    </xf>
    <xf numFmtId="49" fontId="62" fillId="35" borderId="17" xfId="0" applyNumberFormat="1" applyFont="1" applyFill="1" applyBorder="1" applyAlignment="1">
      <alignment horizontal="center"/>
    </xf>
    <xf numFmtId="0" fontId="27" fillId="35" borderId="26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4" fontId="27" fillId="35" borderId="82" xfId="0" applyNumberFormat="1" applyFont="1" applyFill="1" applyBorder="1" applyAlignment="1">
      <alignment horizontal="right"/>
    </xf>
    <xf numFmtId="49" fontId="65" fillId="0" borderId="28" xfId="0" applyNumberFormat="1" applyFont="1" applyBorder="1" applyAlignment="1">
      <alignment horizontal="center"/>
    </xf>
    <xf numFmtId="49" fontId="65" fillId="0" borderId="17" xfId="0" applyNumberFormat="1" applyFont="1" applyFill="1" applyBorder="1" applyAlignment="1">
      <alignment horizontal="center"/>
    </xf>
    <xf numFmtId="4" fontId="65" fillId="0" borderId="77" xfId="0" applyNumberFormat="1" applyFont="1" applyFill="1" applyBorder="1" applyAlignment="1">
      <alignment horizontal="right"/>
    </xf>
    <xf numFmtId="0" fontId="33" fillId="52" borderId="23" xfId="0" applyFont="1" applyFill="1" applyBorder="1" applyAlignment="1">
      <alignment horizontal="center"/>
    </xf>
    <xf numFmtId="49" fontId="65" fillId="0" borderId="57" xfId="0" applyNumberFormat="1" applyFont="1" applyFill="1" applyBorder="1" applyAlignment="1">
      <alignment horizontal="center"/>
    </xf>
    <xf numFmtId="0" fontId="65" fillId="0" borderId="69" xfId="0" applyFont="1" applyFill="1" applyBorder="1" applyAlignment="1">
      <alignment vertical="center" wrapText="1"/>
    </xf>
    <xf numFmtId="4" fontId="65" fillId="0" borderId="82" xfId="0" applyNumberFormat="1" applyFont="1" applyFill="1" applyBorder="1" applyAlignment="1">
      <alignment horizontal="right"/>
    </xf>
    <xf numFmtId="0" fontId="65" fillId="0" borderId="26" xfId="0" applyFont="1" applyBorder="1" applyAlignment="1">
      <alignment horizontal="center"/>
    </xf>
    <xf numFmtId="0" fontId="33" fillId="52" borderId="48" xfId="0" applyFont="1" applyFill="1" applyBorder="1" applyAlignment="1">
      <alignment horizontal="center"/>
    </xf>
    <xf numFmtId="0" fontId="65" fillId="0" borderId="91" xfId="0" applyFont="1" applyBorder="1" applyAlignment="1">
      <alignment horizontal="center"/>
    </xf>
    <xf numFmtId="49" fontId="65" fillId="0" borderId="95" xfId="0" applyNumberFormat="1" applyFont="1" applyFill="1" applyBorder="1" applyAlignment="1">
      <alignment horizontal="center"/>
    </xf>
    <xf numFmtId="0" fontId="65" fillId="0" borderId="66" xfId="0" applyFont="1" applyFill="1" applyBorder="1" applyAlignment="1">
      <alignment vertical="center" wrapText="1"/>
    </xf>
    <xf numFmtId="4" fontId="65" fillId="0" borderId="102" xfId="0" applyNumberFormat="1" applyFont="1" applyFill="1" applyBorder="1" applyAlignment="1">
      <alignment horizontal="right"/>
    </xf>
    <xf numFmtId="49" fontId="65" fillId="0" borderId="28" xfId="0" applyNumberFormat="1" applyFont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4" fontId="65" fillId="0" borderId="77" xfId="0" applyNumberFormat="1" applyFont="1" applyFill="1" applyBorder="1" applyAlignment="1">
      <alignment horizontal="right" vertical="center"/>
    </xf>
    <xf numFmtId="4" fontId="65" fillId="50" borderId="77" xfId="0" applyNumberFormat="1" applyFont="1" applyFill="1" applyBorder="1" applyAlignment="1">
      <alignment horizontal="right" vertical="center"/>
    </xf>
    <xf numFmtId="49" fontId="65" fillId="0" borderId="17" xfId="0" applyNumberFormat="1" applyFont="1" applyBorder="1" applyAlignment="1">
      <alignment horizontal="center" vertical="center"/>
    </xf>
    <xf numFmtId="0" fontId="33" fillId="52" borderId="49" xfId="0" applyFont="1" applyFill="1" applyBorder="1" applyAlignment="1">
      <alignment horizontal="center" vertical="center"/>
    </xf>
    <xf numFmtId="49" fontId="65" fillId="0" borderId="91" xfId="0" applyNumberFormat="1" applyFont="1" applyBorder="1" applyAlignment="1">
      <alignment horizontal="center" vertical="center"/>
    </xf>
    <xf numFmtId="49" fontId="65" fillId="0" borderId="91" xfId="0" applyNumberFormat="1" applyFont="1" applyFill="1" applyBorder="1" applyAlignment="1">
      <alignment horizontal="center" vertical="center"/>
    </xf>
    <xf numFmtId="0" fontId="65" fillId="0" borderId="98" xfId="0" applyFont="1" applyFill="1" applyBorder="1" applyAlignment="1">
      <alignment vertical="center" wrapText="1"/>
    </xf>
    <xf numFmtId="4" fontId="65" fillId="0" borderId="103" xfId="0" applyNumberFormat="1" applyFont="1" applyFill="1" applyBorder="1" applyAlignment="1">
      <alignment horizontal="right" vertical="center"/>
    </xf>
    <xf numFmtId="0" fontId="62" fillId="14" borderId="78" xfId="0" applyFont="1" applyFill="1" applyBorder="1" applyAlignment="1">
      <alignment horizontal="center" vertical="center"/>
    </xf>
    <xf numFmtId="0" fontId="33" fillId="52" borderId="55" xfId="0" applyFont="1" applyFill="1" applyBorder="1" applyAlignment="1">
      <alignment horizontal="center" vertical="center"/>
    </xf>
    <xf numFmtId="49" fontId="27" fillId="35" borderId="104" xfId="0" applyNumberFormat="1" applyFont="1" applyFill="1" applyBorder="1" applyAlignment="1">
      <alignment horizontal="left" vertical="center"/>
    </xf>
    <xf numFmtId="49" fontId="27" fillId="35" borderId="105" xfId="0" applyNumberFormat="1" applyFont="1" applyFill="1" applyBorder="1" applyAlignment="1">
      <alignment horizontal="left" vertical="center"/>
    </xf>
    <xf numFmtId="4" fontId="62" fillId="35" borderId="20" xfId="0" applyNumberFormat="1" applyFont="1" applyFill="1" applyBorder="1" applyAlignment="1">
      <alignment vertical="center"/>
    </xf>
    <xf numFmtId="0" fontId="33" fillId="11" borderId="106" xfId="0" applyFont="1" applyFill="1" applyBorder="1" applyAlignment="1">
      <alignment horizontal="left" vertical="center"/>
    </xf>
    <xf numFmtId="49" fontId="62" fillId="11" borderId="107" xfId="0" applyNumberFormat="1" applyFont="1" applyFill="1" applyBorder="1" applyAlignment="1">
      <alignment horizontal="left" vertical="center"/>
    </xf>
    <xf numFmtId="49" fontId="62" fillId="11" borderId="107" xfId="0" applyNumberFormat="1" applyFont="1" applyFill="1" applyBorder="1" applyAlignment="1">
      <alignment horizontal="left" vertical="center"/>
    </xf>
    <xf numFmtId="49" fontId="27" fillId="11" borderId="107" xfId="0" applyNumberFormat="1" applyFont="1" applyFill="1" applyBorder="1" applyAlignment="1">
      <alignment horizontal="left" vertical="center"/>
    </xf>
    <xf numFmtId="4" fontId="62" fillId="11" borderId="107" xfId="0" applyNumberFormat="1" applyFont="1" applyFill="1" applyBorder="1" applyAlignment="1">
      <alignment horizontal="left" vertical="center"/>
    </xf>
    <xf numFmtId="4" fontId="62" fillId="11" borderId="59" xfId="0" applyNumberFormat="1" applyFont="1" applyFill="1" applyBorder="1" applyAlignment="1">
      <alignment horizontal="center" vertical="center"/>
    </xf>
    <xf numFmtId="0" fontId="33" fillId="52" borderId="72" xfId="0" applyFont="1" applyFill="1" applyBorder="1" applyAlignment="1">
      <alignment horizontal="center" vertical="center"/>
    </xf>
    <xf numFmtId="49" fontId="65" fillId="0" borderId="100" xfId="0" applyNumberFormat="1" applyFont="1" applyFill="1" applyBorder="1" applyAlignment="1">
      <alignment horizontal="center" vertical="center"/>
    </xf>
    <xf numFmtId="0" fontId="65" fillId="49" borderId="22" xfId="0" applyFont="1" applyFill="1" applyBorder="1" applyAlignment="1">
      <alignment vertical="center"/>
    </xf>
    <xf numFmtId="4" fontId="65" fillId="0" borderId="72" xfId="0" applyNumberFormat="1" applyFont="1" applyFill="1" applyBorder="1" applyAlignment="1">
      <alignment horizontal="right" vertical="center"/>
    </xf>
    <xf numFmtId="0" fontId="33" fillId="52" borderId="29" xfId="0" applyFont="1" applyFill="1" applyBorder="1" applyAlignment="1">
      <alignment horizontal="center" vertical="center"/>
    </xf>
    <xf numFmtId="49" fontId="65" fillId="0" borderId="43" xfId="0" applyNumberFormat="1" applyFont="1" applyFill="1" applyBorder="1" applyAlignment="1">
      <alignment horizontal="center" vertical="center"/>
    </xf>
    <xf numFmtId="0" fontId="33" fillId="52" borderId="34" xfId="0" applyFont="1" applyFill="1" applyBorder="1" applyAlignment="1">
      <alignment horizontal="center" vertical="center"/>
    </xf>
    <xf numFmtId="49" fontId="65" fillId="0" borderId="48" xfId="0" applyNumberFormat="1" applyFont="1" applyFill="1" applyBorder="1" applyAlignment="1">
      <alignment horizontal="center" vertical="center"/>
    </xf>
    <xf numFmtId="49" fontId="33" fillId="52" borderId="31" xfId="0" applyNumberFormat="1" applyFont="1" applyFill="1" applyBorder="1" applyAlignment="1">
      <alignment horizontal="center" vertical="center"/>
    </xf>
    <xf numFmtId="49" fontId="62" fillId="0" borderId="100" xfId="0" applyNumberFormat="1" applyFont="1" applyFill="1" applyBorder="1" applyAlignment="1">
      <alignment horizontal="center" vertical="center"/>
    </xf>
    <xf numFmtId="49" fontId="65" fillId="0" borderId="101" xfId="0" applyNumberFormat="1" applyFont="1" applyFill="1" applyBorder="1" applyAlignment="1">
      <alignment horizontal="center" vertical="center"/>
    </xf>
    <xf numFmtId="4" fontId="65" fillId="0" borderId="64" xfId="0" applyNumberFormat="1" applyFont="1" applyFill="1" applyBorder="1" applyAlignment="1">
      <alignment horizontal="right" vertical="center"/>
    </xf>
    <xf numFmtId="49" fontId="33" fillId="52" borderId="70" xfId="0" applyNumberFormat="1" applyFont="1" applyFill="1" applyBorder="1" applyAlignment="1">
      <alignment horizontal="center" vertical="center"/>
    </xf>
    <xf numFmtId="49" fontId="62" fillId="0" borderId="49" xfId="0" applyNumberFormat="1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/>
    </xf>
    <xf numFmtId="0" fontId="65" fillId="49" borderId="98" xfId="0" applyFont="1" applyFill="1" applyBorder="1" applyAlignment="1">
      <alignment vertical="center" wrapText="1"/>
    </xf>
    <xf numFmtId="4" fontId="65" fillId="0" borderId="70" xfId="0" applyNumberFormat="1" applyFont="1" applyFill="1" applyBorder="1" applyAlignment="1">
      <alignment horizontal="right" vertical="center"/>
    </xf>
    <xf numFmtId="4" fontId="65" fillId="0" borderId="98" xfId="0" applyNumberFormat="1" applyFont="1" applyFill="1" applyBorder="1" applyAlignment="1">
      <alignment horizontal="right" vertical="center"/>
    </xf>
    <xf numFmtId="0" fontId="33" fillId="11" borderId="106" xfId="0" applyFont="1" applyFill="1" applyBorder="1" applyAlignment="1">
      <alignment horizontal="center" vertical="center"/>
    </xf>
    <xf numFmtId="49" fontId="62" fillId="11" borderId="107" xfId="0" applyNumberFormat="1" applyFont="1" applyFill="1" applyBorder="1" applyAlignment="1">
      <alignment horizontal="center" vertical="center"/>
    </xf>
    <xf numFmtId="0" fontId="65" fillId="11" borderId="107" xfId="0" applyFont="1" applyFill="1" applyBorder="1" applyAlignment="1">
      <alignment vertical="center" wrapText="1"/>
    </xf>
    <xf numFmtId="4" fontId="65" fillId="11" borderId="107" xfId="0" applyNumberFormat="1" applyFont="1" applyFill="1" applyBorder="1" applyAlignment="1">
      <alignment horizontal="right" vertical="center"/>
    </xf>
    <xf numFmtId="4" fontId="62" fillId="11" borderId="59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5" fillId="0" borderId="78" xfId="0" applyNumberFormat="1" applyFont="1" applyFill="1" applyBorder="1" applyAlignment="1">
      <alignment horizontal="center" vertical="center"/>
    </xf>
    <xf numFmtId="0" fontId="65" fillId="49" borderId="0" xfId="0" applyFont="1" applyFill="1" applyBorder="1" applyAlignment="1">
      <alignment vertical="center" wrapText="1"/>
    </xf>
    <xf numFmtId="4" fontId="65" fillId="0" borderId="21" xfId="0" applyNumberFormat="1" applyFont="1" applyFill="1" applyBorder="1" applyAlignment="1">
      <alignment horizontal="right" vertical="center"/>
    </xf>
    <xf numFmtId="49" fontId="62" fillId="0" borderId="69" xfId="0" applyNumberFormat="1" applyFont="1" applyFill="1" applyBorder="1" applyAlignment="1">
      <alignment horizontal="center" vertical="center"/>
    </xf>
    <xf numFmtId="49" fontId="65" fillId="0" borderId="81" xfId="0" applyNumberFormat="1" applyFont="1" applyFill="1" applyBorder="1" applyAlignment="1">
      <alignment horizontal="center" vertical="center"/>
    </xf>
    <xf numFmtId="0" fontId="65" fillId="49" borderId="69" xfId="0" applyFont="1" applyFill="1" applyBorder="1" applyAlignment="1">
      <alignment vertical="center" wrapText="1"/>
    </xf>
    <xf numFmtId="0" fontId="33" fillId="52" borderId="53" xfId="0" applyFont="1" applyFill="1" applyBorder="1" applyAlignment="1">
      <alignment horizontal="center" vertical="center"/>
    </xf>
    <xf numFmtId="49" fontId="65" fillId="0" borderId="42" xfId="0" applyNumberFormat="1" applyFont="1" applyBorder="1" applyAlignment="1">
      <alignment horizontal="center" vertical="center" wrapText="1"/>
    </xf>
    <xf numFmtId="0" fontId="33" fillId="52" borderId="37" xfId="0" applyFont="1" applyFill="1" applyBorder="1" applyAlignment="1">
      <alignment horizontal="center" vertical="center"/>
    </xf>
    <xf numFmtId="49" fontId="65" fillId="0" borderId="44" xfId="0" applyNumberFormat="1" applyFont="1" applyBorder="1" applyAlignment="1">
      <alignment horizontal="center" vertical="center" wrapText="1"/>
    </xf>
    <xf numFmtId="49" fontId="65" fillId="11" borderId="107" xfId="0" applyNumberFormat="1" applyFont="1" applyFill="1" applyBorder="1" applyAlignment="1">
      <alignment horizontal="center" vertical="center" wrapText="1"/>
    </xf>
    <xf numFmtId="4" fontId="65" fillId="11" borderId="59" xfId="0" applyNumberFormat="1" applyFont="1" applyFill="1" applyBorder="1" applyAlignment="1">
      <alignment horizontal="right" vertical="center"/>
    </xf>
    <xf numFmtId="4" fontId="65" fillId="11" borderId="108" xfId="0" applyNumberFormat="1" applyFont="1" applyFill="1" applyBorder="1" applyAlignment="1">
      <alignment horizontal="right" vertical="center"/>
    </xf>
    <xf numFmtId="49" fontId="65" fillId="0" borderId="28" xfId="0" applyNumberFormat="1" applyFont="1" applyBorder="1" applyAlignment="1">
      <alignment horizontal="center" vertical="center" wrapText="1"/>
    </xf>
    <xf numFmtId="0" fontId="33" fillId="52" borderId="44" xfId="0" applyFont="1" applyFill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33" fillId="52" borderId="23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 wrapText="1"/>
    </xf>
    <xf numFmtId="4" fontId="87" fillId="0" borderId="21" xfId="0" applyNumberFormat="1" applyFont="1" applyFill="1" applyBorder="1" applyAlignment="1">
      <alignment horizontal="right" vertical="center"/>
    </xf>
    <xf numFmtId="4" fontId="139" fillId="35" borderId="20" xfId="0" applyNumberFormat="1" applyFont="1" applyFill="1" applyBorder="1" applyAlignment="1">
      <alignment vertical="center"/>
    </xf>
    <xf numFmtId="49" fontId="65" fillId="0" borderId="100" xfId="0" applyNumberFormat="1" applyFont="1" applyBorder="1" applyAlignment="1">
      <alignment horizontal="center" vertical="center"/>
    </xf>
    <xf numFmtId="4" fontId="65" fillId="0" borderId="72" xfId="0" applyNumberFormat="1" applyFont="1" applyBorder="1" applyAlignment="1">
      <alignment horizontal="right" vertical="center"/>
    </xf>
    <xf numFmtId="49" fontId="65" fillId="0" borderId="43" xfId="0" applyNumberFormat="1" applyFont="1" applyBorder="1" applyAlignment="1">
      <alignment horizontal="center" vertical="center"/>
    </xf>
    <xf numFmtId="4" fontId="65" fillId="0" borderId="29" xfId="0" applyNumberFormat="1" applyFont="1" applyBorder="1" applyAlignment="1">
      <alignment horizontal="right" vertical="center"/>
    </xf>
    <xf numFmtId="49" fontId="65" fillId="0" borderId="48" xfId="0" applyNumberFormat="1" applyFont="1" applyBorder="1" applyAlignment="1">
      <alignment horizontal="center" vertical="center"/>
    </xf>
    <xf numFmtId="0" fontId="65" fillId="0" borderId="98" xfId="0" applyFont="1" applyBorder="1" applyAlignment="1">
      <alignment vertical="center" wrapText="1"/>
    </xf>
    <xf numFmtId="4" fontId="65" fillId="0" borderId="34" xfId="0" applyNumberFormat="1" applyFont="1" applyBorder="1" applyAlignment="1">
      <alignment horizontal="right" vertical="center"/>
    </xf>
    <xf numFmtId="49" fontId="65" fillId="0" borderId="25" xfId="0" applyNumberFormat="1" applyFont="1" applyBorder="1" applyAlignment="1">
      <alignment horizontal="center" vertical="center"/>
    </xf>
    <xf numFmtId="4" fontId="65" fillId="0" borderId="31" xfId="0" applyNumberFormat="1" applyFont="1" applyBorder="1" applyAlignment="1">
      <alignment horizontal="right" vertical="center"/>
    </xf>
    <xf numFmtId="49" fontId="65" fillId="0" borderId="78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4" fontId="65" fillId="0" borderId="27" xfId="0" applyNumberFormat="1" applyFont="1" applyBorder="1" applyAlignment="1">
      <alignment horizontal="right" vertical="center"/>
    </xf>
    <xf numFmtId="49" fontId="65" fillId="0" borderId="26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vertical="center" wrapText="1"/>
    </xf>
    <xf numFmtId="49" fontId="87" fillId="0" borderId="41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 wrapText="1"/>
    </xf>
    <xf numFmtId="4" fontId="87" fillId="0" borderId="21" xfId="0" applyNumberFormat="1" applyFont="1" applyBorder="1" applyAlignment="1">
      <alignment horizontal="right" vertical="center"/>
    </xf>
    <xf numFmtId="0" fontId="33" fillId="52" borderId="12" xfId="0" applyFont="1" applyFill="1" applyBorder="1" applyAlignment="1">
      <alignment horizontal="center" vertical="center"/>
    </xf>
    <xf numFmtId="0" fontId="62" fillId="14" borderId="36" xfId="0" applyFont="1" applyFill="1" applyBorder="1" applyAlignment="1">
      <alignment horizontal="center" vertical="center"/>
    </xf>
    <xf numFmtId="0" fontId="62" fillId="14" borderId="107" xfId="0" applyFont="1" applyFill="1" applyBorder="1" applyAlignment="1">
      <alignment vertical="center"/>
    </xf>
    <xf numFmtId="0" fontId="65" fillId="14" borderId="107" xfId="0" applyFont="1" applyFill="1" applyBorder="1" applyAlignment="1">
      <alignment vertical="center"/>
    </xf>
    <xf numFmtId="4" fontId="27" fillId="14" borderId="59" xfId="0" applyNumberFormat="1" applyFont="1" applyFill="1" applyBorder="1" applyAlignment="1">
      <alignment vertical="center"/>
    </xf>
    <xf numFmtId="4" fontId="62" fillId="35" borderId="21" xfId="0" applyNumberFormat="1" applyFont="1" applyFill="1" applyBorder="1" applyAlignment="1">
      <alignment vertical="center"/>
    </xf>
    <xf numFmtId="0" fontId="65" fillId="49" borderId="22" xfId="0" applyFont="1" applyFill="1" applyBorder="1" applyAlignment="1">
      <alignment vertical="center" wrapText="1"/>
    </xf>
    <xf numFmtId="4" fontId="65" fillId="0" borderId="20" xfId="0" applyNumberFormat="1" applyFont="1" applyFill="1" applyBorder="1" applyAlignment="1">
      <alignment horizontal="right" vertical="center"/>
    </xf>
    <xf numFmtId="0" fontId="93" fillId="9" borderId="106" xfId="0" applyFont="1" applyFill="1" applyBorder="1" applyAlignment="1">
      <alignment horizontal="left" vertical="center"/>
    </xf>
    <xf numFmtId="49" fontId="62" fillId="9" borderId="107" xfId="0" applyNumberFormat="1" applyFont="1" applyFill="1" applyBorder="1" applyAlignment="1">
      <alignment horizontal="left" vertical="center"/>
    </xf>
    <xf numFmtId="0" fontId="62" fillId="9" borderId="107" xfId="0" applyFont="1" applyFill="1" applyBorder="1" applyAlignment="1">
      <alignment horizontal="left" vertical="center" wrapText="1"/>
    </xf>
    <xf numFmtId="4" fontId="62" fillId="9" borderId="107" xfId="0" applyNumberFormat="1" applyFont="1" applyFill="1" applyBorder="1" applyAlignment="1">
      <alignment horizontal="left" vertical="center"/>
    </xf>
    <xf numFmtId="4" fontId="62" fillId="9" borderId="59" xfId="0" applyNumberFormat="1" applyFont="1" applyFill="1" applyBorder="1" applyAlignment="1">
      <alignment horizontal="left" vertical="center"/>
    </xf>
    <xf numFmtId="49" fontId="62" fillId="0" borderId="39" xfId="0" applyNumberFormat="1" applyFont="1" applyFill="1" applyBorder="1" applyAlignment="1">
      <alignment horizontal="center" vertical="center"/>
    </xf>
    <xf numFmtId="49" fontId="62" fillId="0" borderId="25" xfId="0" applyNumberFormat="1" applyFont="1" applyFill="1" applyBorder="1" applyAlignment="1">
      <alignment horizontal="center" vertical="center" textRotation="90"/>
    </xf>
    <xf numFmtId="49" fontId="62" fillId="0" borderId="26" xfId="0" applyNumberFormat="1" applyFont="1" applyFill="1" applyBorder="1" applyAlignment="1">
      <alignment horizontal="center" vertical="center" textRotation="90"/>
    </xf>
    <xf numFmtId="49" fontId="62" fillId="0" borderId="28" xfId="0" applyNumberFormat="1" applyFont="1" applyFill="1" applyBorder="1" applyAlignment="1">
      <alignment horizontal="center" vertical="center" textRotation="90"/>
    </xf>
    <xf numFmtId="49" fontId="65" fillId="0" borderId="28" xfId="0" applyNumberFormat="1" applyFont="1" applyFill="1" applyBorder="1" applyAlignment="1">
      <alignment horizontal="center" vertical="center"/>
    </xf>
    <xf numFmtId="4" fontId="62" fillId="9" borderId="108" xfId="0" applyNumberFormat="1" applyFont="1" applyFill="1" applyBorder="1" applyAlignment="1">
      <alignment horizontal="left" vertical="center"/>
    </xf>
    <xf numFmtId="0" fontId="87" fillId="0" borderId="64" xfId="0" applyFont="1" applyFill="1" applyBorder="1" applyAlignment="1">
      <alignment vertical="center" wrapText="1"/>
    </xf>
    <xf numFmtId="4" fontId="87" fillId="0" borderId="31" xfId="0" applyNumberFormat="1" applyFont="1" applyFill="1" applyBorder="1" applyAlignment="1">
      <alignment horizontal="right" vertical="center"/>
    </xf>
    <xf numFmtId="0" fontId="65" fillId="0" borderId="81" xfId="0" applyFont="1" applyBorder="1" applyAlignment="1">
      <alignment horizontal="center" vertical="center"/>
    </xf>
    <xf numFmtId="0" fontId="87" fillId="0" borderId="69" xfId="0" applyFont="1" applyFill="1" applyBorder="1" applyAlignment="1">
      <alignment vertical="center" wrapText="1"/>
    </xf>
    <xf numFmtId="49" fontId="62" fillId="35" borderId="36" xfId="0" applyNumberFormat="1" applyFont="1" applyFill="1" applyBorder="1" applyAlignment="1">
      <alignment horizontal="center" vertical="center"/>
    </xf>
    <xf numFmtId="0" fontId="27" fillId="35" borderId="107" xfId="0" applyFont="1" applyFill="1" applyBorder="1" applyAlignment="1">
      <alignment vertical="center"/>
    </xf>
    <xf numFmtId="4" fontId="62" fillId="35" borderId="59" xfId="0" applyNumberFormat="1" applyFont="1" applyFill="1" applyBorder="1" applyAlignment="1">
      <alignment horizontal="right" vertical="center"/>
    </xf>
    <xf numFmtId="4" fontId="62" fillId="11" borderId="59" xfId="0" applyNumberFormat="1" applyFont="1" applyFill="1" applyBorder="1" applyAlignment="1">
      <alignment horizontal="left" vertical="center"/>
    </xf>
    <xf numFmtId="4" fontId="62" fillId="11" borderId="108" xfId="0" applyNumberFormat="1" applyFont="1" applyFill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87" fillId="49" borderId="0" xfId="0" applyFont="1" applyFill="1" applyBorder="1" applyAlignment="1">
      <alignment vertical="center" wrapText="1"/>
    </xf>
    <xf numFmtId="4" fontId="87" fillId="0" borderId="27" xfId="0" applyNumberFormat="1" applyFont="1" applyFill="1" applyBorder="1" applyAlignment="1">
      <alignment horizontal="right" vertical="center"/>
    </xf>
    <xf numFmtId="0" fontId="87" fillId="0" borderId="13" xfId="0" applyFont="1" applyFill="1" applyBorder="1" applyAlignment="1">
      <alignment vertical="center" wrapText="1"/>
    </xf>
    <xf numFmtId="0" fontId="65" fillId="0" borderId="91" xfId="0" applyFont="1" applyBorder="1" applyAlignment="1">
      <alignment horizontal="center" vertical="center"/>
    </xf>
    <xf numFmtId="4" fontId="87" fillId="0" borderId="70" xfId="0" applyNumberFormat="1" applyFont="1" applyFill="1" applyBorder="1" applyAlignment="1">
      <alignment horizontal="right" vertical="center"/>
    </xf>
    <xf numFmtId="0" fontId="27" fillId="14" borderId="36" xfId="0" applyFont="1" applyFill="1" applyBorder="1" applyAlignment="1">
      <alignment horizontal="center" vertical="center"/>
    </xf>
    <xf numFmtId="49" fontId="62" fillId="14" borderId="73" xfId="0" applyNumberFormat="1" applyFont="1" applyFill="1" applyBorder="1" applyAlignment="1">
      <alignment horizontal="left" vertical="center"/>
    </xf>
    <xf numFmtId="0" fontId="27" fillId="14" borderId="109" xfId="0" applyFont="1" applyFill="1" applyBorder="1" applyAlignment="1">
      <alignment vertical="center"/>
    </xf>
    <xf numFmtId="4" fontId="27" fillId="14" borderId="59" xfId="0" applyNumberFormat="1" applyFont="1" applyFill="1" applyBorder="1" applyAlignment="1">
      <alignment horizontal="right" vertical="center"/>
    </xf>
    <xf numFmtId="0" fontId="27" fillId="35" borderId="73" xfId="0" applyFont="1" applyFill="1" applyBorder="1" applyAlignment="1">
      <alignment vertical="center"/>
    </xf>
    <xf numFmtId="0" fontId="27" fillId="35" borderId="109" xfId="0" applyFont="1" applyFill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65" fillId="49" borderId="97" xfId="0" applyFont="1" applyFill="1" applyBorder="1" applyAlignment="1">
      <alignment vertical="center" wrapText="1"/>
    </xf>
    <xf numFmtId="0" fontId="65" fillId="49" borderId="22" xfId="0" applyFont="1" applyFill="1" applyBorder="1" applyAlignment="1">
      <alignment horizontal="left" vertical="center" wrapText="1"/>
    </xf>
    <xf numFmtId="0" fontId="65" fillId="49" borderId="98" xfId="0" applyFont="1" applyFill="1" applyBorder="1" applyAlignment="1">
      <alignment horizontal="left" vertical="center" wrapText="1"/>
    </xf>
    <xf numFmtId="49" fontId="27" fillId="35" borderId="73" xfId="0" applyNumberFormat="1" applyFont="1" applyFill="1" applyBorder="1" applyAlignment="1">
      <alignment horizontal="left" vertical="center"/>
    </xf>
    <xf numFmtId="49" fontId="27" fillId="35" borderId="109" xfId="0" applyNumberFormat="1" applyFont="1" applyFill="1" applyBorder="1" applyAlignment="1">
      <alignment horizontal="left" vertical="center"/>
    </xf>
    <xf numFmtId="4" fontId="62" fillId="35" borderId="59" xfId="0" applyNumberFormat="1" applyFont="1" applyFill="1" applyBorder="1" applyAlignment="1">
      <alignment vertical="center"/>
    </xf>
    <xf numFmtId="49" fontId="62" fillId="0" borderId="110" xfId="0" applyNumberFormat="1" applyFont="1" applyFill="1" applyBorder="1" applyAlignment="1">
      <alignment horizontal="center" vertical="center"/>
    </xf>
    <xf numFmtId="49" fontId="65" fillId="0" borderId="104" xfId="0" applyNumberFormat="1" applyFont="1" applyFill="1" applyBorder="1" applyAlignment="1">
      <alignment horizontal="center" vertical="center"/>
    </xf>
    <xf numFmtId="0" fontId="65" fillId="49" borderId="16" xfId="0" applyFont="1" applyFill="1" applyBorder="1" applyAlignment="1">
      <alignment vertical="center" wrapText="1"/>
    </xf>
    <xf numFmtId="0" fontId="65" fillId="14" borderId="108" xfId="0" applyFont="1" applyFill="1" applyBorder="1" applyAlignment="1">
      <alignment vertical="center"/>
    </xf>
    <xf numFmtId="0" fontId="65" fillId="0" borderId="98" xfId="0" applyFont="1" applyBorder="1" applyAlignment="1">
      <alignment horizontal="center" vertical="center"/>
    </xf>
    <xf numFmtId="0" fontId="65" fillId="49" borderId="99" xfId="0" applyFont="1" applyFill="1" applyBorder="1" applyAlignment="1">
      <alignment vertical="center" wrapText="1"/>
    </xf>
    <xf numFmtId="4" fontId="62" fillId="7" borderId="65" xfId="0" applyNumberFormat="1" applyFont="1" applyFill="1" applyBorder="1" applyAlignment="1">
      <alignment vertical="center"/>
    </xf>
    <xf numFmtId="4" fontId="27" fillId="14" borderId="0" xfId="0" applyNumberFormat="1" applyFont="1" applyFill="1" applyBorder="1" applyAlignment="1">
      <alignment vertical="center"/>
    </xf>
    <xf numFmtId="4" fontId="27" fillId="35" borderId="13" xfId="0" applyNumberFormat="1" applyFont="1" applyFill="1" applyBorder="1" applyAlignment="1">
      <alignment horizontal="right" vertical="center"/>
    </xf>
    <xf numFmtId="4" fontId="65" fillId="0" borderId="13" xfId="0" applyNumberFormat="1" applyFont="1" applyFill="1" applyBorder="1" applyAlignment="1">
      <alignment horizontal="right" vertical="center"/>
    </xf>
    <xf numFmtId="1" fontId="33" fillId="52" borderId="42" xfId="0" applyNumberFormat="1" applyFont="1" applyFill="1" applyBorder="1" applyAlignment="1">
      <alignment horizontal="center" vertical="center"/>
    </xf>
    <xf numFmtId="0" fontId="33" fillId="52" borderId="36" xfId="0" applyFont="1" applyFill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49" fontId="65" fillId="0" borderId="11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4" fontId="27" fillId="0" borderId="20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0" fontId="33" fillId="52" borderId="42" xfId="0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49" fontId="62" fillId="0" borderId="112" xfId="0" applyNumberFormat="1" applyFont="1" applyFill="1" applyBorder="1" applyAlignment="1">
      <alignment horizontal="center" vertical="center" wrapText="1"/>
    </xf>
    <xf numFmtId="0" fontId="62" fillId="0" borderId="113" xfId="0" applyFont="1" applyFill="1" applyBorder="1" applyAlignment="1">
      <alignment vertical="center" wrapText="1"/>
    </xf>
    <xf numFmtId="4" fontId="62" fillId="0" borderId="114" xfId="0" applyNumberFormat="1" applyFont="1" applyFill="1" applyBorder="1" applyAlignment="1">
      <alignment horizontal="right" vertical="center" wrapText="1"/>
    </xf>
    <xf numFmtId="4" fontId="62" fillId="0" borderId="113" xfId="0" applyNumberFormat="1" applyFont="1" applyFill="1" applyBorder="1" applyAlignment="1">
      <alignment horizontal="right" vertical="center" wrapText="1"/>
    </xf>
    <xf numFmtId="49" fontId="65" fillId="0" borderId="115" xfId="0" applyNumberFormat="1" applyFont="1" applyFill="1" applyBorder="1" applyAlignment="1">
      <alignment horizontal="center" vertical="center" wrapText="1"/>
    </xf>
    <xf numFmtId="0" fontId="87" fillId="0" borderId="116" xfId="0" applyFont="1" applyFill="1" applyBorder="1" applyAlignment="1">
      <alignment vertical="center" wrapText="1"/>
    </xf>
    <xf numFmtId="4" fontId="87" fillId="0" borderId="117" xfId="0" applyNumberFormat="1" applyFont="1" applyFill="1" applyBorder="1" applyAlignment="1">
      <alignment horizontal="right" vertical="center" wrapText="1"/>
    </xf>
    <xf numFmtId="4" fontId="87" fillId="0" borderId="116" xfId="0" applyNumberFormat="1" applyFont="1" applyFill="1" applyBorder="1" applyAlignment="1">
      <alignment horizontal="right" vertical="center" wrapText="1"/>
    </xf>
    <xf numFmtId="49" fontId="65" fillId="0" borderId="118" xfId="0" applyNumberFormat="1" applyFont="1" applyFill="1" applyBorder="1" applyAlignment="1">
      <alignment horizontal="center" vertical="center" wrapText="1"/>
    </xf>
    <xf numFmtId="0" fontId="87" fillId="0" borderId="64" xfId="0" applyFont="1" applyFill="1" applyBorder="1" applyAlignment="1">
      <alignment vertical="center" wrapText="1"/>
    </xf>
    <xf numFmtId="4" fontId="87" fillId="0" borderId="31" xfId="0" applyNumberFormat="1" applyFont="1" applyFill="1" applyBorder="1" applyAlignment="1">
      <alignment horizontal="right" vertical="center" wrapText="1"/>
    </xf>
    <xf numFmtId="4" fontId="87" fillId="0" borderId="64" xfId="0" applyNumberFormat="1" applyFont="1" applyFill="1" applyBorder="1" applyAlignment="1">
      <alignment horizontal="right" vertical="center" wrapText="1"/>
    </xf>
    <xf numFmtId="1" fontId="33" fillId="52" borderId="42" xfId="0" applyNumberFormat="1" applyFont="1" applyFill="1" applyBorder="1" applyAlignment="1">
      <alignment horizontal="center" vertical="center" wrapText="1"/>
    </xf>
    <xf numFmtId="4" fontId="87" fillId="0" borderId="29" xfId="0" applyNumberFormat="1" applyFont="1" applyFill="1" applyBorder="1" applyAlignment="1">
      <alignment horizontal="right" vertical="center" wrapText="1"/>
    </xf>
    <xf numFmtId="4" fontId="87" fillId="0" borderId="13" xfId="0" applyNumberFormat="1" applyFont="1" applyFill="1" applyBorder="1" applyAlignment="1">
      <alignment horizontal="right" vertical="center" wrapText="1"/>
    </xf>
    <xf numFmtId="49" fontId="65" fillId="0" borderId="119" xfId="0" applyNumberFormat="1" applyFont="1" applyFill="1" applyBorder="1" applyAlignment="1">
      <alignment horizontal="center" vertical="center" wrapText="1"/>
    </xf>
    <xf numFmtId="0" fontId="87" fillId="0" borderId="120" xfId="0" applyFont="1" applyFill="1" applyBorder="1" applyAlignment="1">
      <alignment vertical="center" wrapText="1"/>
    </xf>
    <xf numFmtId="4" fontId="87" fillId="0" borderId="121" xfId="0" applyNumberFormat="1" applyFont="1" applyFill="1" applyBorder="1" applyAlignment="1">
      <alignment horizontal="right" vertical="center" wrapText="1"/>
    </xf>
    <xf numFmtId="4" fontId="87" fillId="0" borderId="122" xfId="0" applyNumberFormat="1" applyFont="1" applyFill="1" applyBorder="1" applyAlignment="1">
      <alignment horizontal="right" vertical="center" wrapText="1"/>
    </xf>
    <xf numFmtId="0" fontId="65" fillId="0" borderId="28" xfId="0" applyFont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64" xfId="0" applyNumberFormat="1" applyFont="1" applyFill="1" applyBorder="1" applyAlignment="1">
      <alignment horizontal="right" vertical="center" wrapText="1"/>
    </xf>
    <xf numFmtId="4" fontId="65" fillId="0" borderId="29" xfId="0" applyNumberFormat="1" applyFont="1" applyFill="1" applyBorder="1" applyAlignment="1">
      <alignment horizontal="right" vertical="center" wrapText="1"/>
    </xf>
    <xf numFmtId="4" fontId="65" fillId="0" borderId="13" xfId="0" applyNumberFormat="1" applyFont="1" applyFill="1" applyBorder="1" applyAlignment="1">
      <alignment horizontal="right" vertical="center" wrapText="1"/>
    </xf>
    <xf numFmtId="49" fontId="65" fillId="0" borderId="26" xfId="0" applyNumberFormat="1" applyFont="1" applyFill="1" applyBorder="1" applyAlignment="1">
      <alignment horizontal="center" vertical="center" wrapText="1"/>
    </xf>
    <xf numFmtId="49" fontId="65" fillId="0" borderId="25" xfId="0" applyNumberFormat="1" applyFont="1" applyFill="1" applyBorder="1" applyAlignment="1">
      <alignment horizontal="center" vertical="center" wrapText="1"/>
    </xf>
    <xf numFmtId="1" fontId="33" fillId="52" borderId="49" xfId="0" applyNumberFormat="1" applyFont="1" applyFill="1" applyBorder="1" applyAlignment="1">
      <alignment horizontal="center" vertical="center" wrapText="1"/>
    </xf>
    <xf numFmtId="0" fontId="65" fillId="0" borderId="91" xfId="0" applyFont="1" applyBorder="1" applyAlignment="1">
      <alignment horizontal="center" vertical="center" wrapText="1"/>
    </xf>
    <xf numFmtId="49" fontId="65" fillId="0" borderId="41" xfId="0" applyNumberFormat="1" applyFont="1" applyFill="1" applyBorder="1" applyAlignment="1">
      <alignment horizontal="center" vertical="center" wrapText="1"/>
    </xf>
    <xf numFmtId="4" fontId="65" fillId="0" borderId="70" xfId="0" applyNumberFormat="1" applyFont="1" applyFill="1" applyBorder="1" applyAlignment="1">
      <alignment horizontal="right" vertical="center" wrapText="1"/>
    </xf>
    <xf numFmtId="4" fontId="65" fillId="0" borderId="98" xfId="0" applyNumberFormat="1" applyFont="1" applyFill="1" applyBorder="1" applyAlignment="1">
      <alignment horizontal="right" vertical="center" wrapText="1"/>
    </xf>
    <xf numFmtId="49" fontId="62" fillId="35" borderId="26" xfId="0" applyNumberFormat="1" applyFont="1" applyFill="1" applyBorder="1" applyAlignment="1">
      <alignment horizontal="left" vertical="center"/>
    </xf>
    <xf numFmtId="0" fontId="27" fillId="35" borderId="13" xfId="0" applyFont="1" applyFill="1" applyBorder="1" applyAlignment="1">
      <alignment vertical="center"/>
    </xf>
    <xf numFmtId="49" fontId="65" fillId="49" borderId="25" xfId="0" applyNumberFormat="1" applyFont="1" applyFill="1" applyBorder="1" applyAlignment="1">
      <alignment horizontal="center" vertical="center"/>
    </xf>
    <xf numFmtId="0" fontId="65" fillId="49" borderId="38" xfId="0" applyFont="1" applyFill="1" applyBorder="1" applyAlignment="1">
      <alignment vertical="center" wrapText="1"/>
    </xf>
    <xf numFmtId="4" fontId="65" fillId="49" borderId="13" xfId="0" applyNumberFormat="1" applyFont="1" applyFill="1" applyBorder="1" applyAlignment="1">
      <alignment horizontal="right" vertical="center"/>
    </xf>
    <xf numFmtId="0" fontId="65" fillId="49" borderId="17" xfId="0" applyFont="1" applyFill="1" applyBorder="1" applyAlignment="1">
      <alignment horizontal="center" vertical="center"/>
    </xf>
    <xf numFmtId="49" fontId="65" fillId="49" borderId="26" xfId="0" applyNumberFormat="1" applyFont="1" applyFill="1" applyBorder="1" applyAlignment="1">
      <alignment horizontal="center" vertical="center"/>
    </xf>
    <xf numFmtId="0" fontId="65" fillId="49" borderId="91" xfId="0" applyFont="1" applyFill="1" applyBorder="1" applyAlignment="1">
      <alignment horizontal="center" vertical="center"/>
    </xf>
    <xf numFmtId="49" fontId="65" fillId="49" borderId="41" xfId="0" applyNumberFormat="1" applyFont="1" applyFill="1" applyBorder="1" applyAlignment="1">
      <alignment horizontal="center" vertical="center"/>
    </xf>
    <xf numFmtId="0" fontId="65" fillId="7" borderId="94" xfId="0" applyFont="1" applyFill="1" applyBorder="1" applyAlignment="1">
      <alignment/>
    </xf>
    <xf numFmtId="0" fontId="65" fillId="14" borderId="14" xfId="0" applyFont="1" applyFill="1" applyBorder="1" applyAlignment="1">
      <alignment/>
    </xf>
    <xf numFmtId="4" fontId="27" fillId="14" borderId="14" xfId="0" applyNumberFormat="1" applyFont="1" applyFill="1" applyBorder="1" applyAlignment="1">
      <alignment/>
    </xf>
    <xf numFmtId="49" fontId="27" fillId="35" borderId="26" xfId="0" applyNumberFormat="1" applyFont="1" applyFill="1" applyBorder="1" applyAlignment="1">
      <alignment horizontal="left"/>
    </xf>
    <xf numFmtId="0" fontId="27" fillId="35" borderId="14" xfId="0" applyFont="1" applyFill="1" applyBorder="1" applyAlignment="1">
      <alignment/>
    </xf>
    <xf numFmtId="4" fontId="27" fillId="35" borderId="14" xfId="0" applyNumberFormat="1" applyFont="1" applyFill="1" applyBorder="1" applyAlignment="1">
      <alignment horizontal="right"/>
    </xf>
    <xf numFmtId="49" fontId="33" fillId="52" borderId="43" xfId="0" applyNumberFormat="1" applyFont="1" applyFill="1" applyBorder="1" applyAlignment="1">
      <alignment horizontal="center" vertical="center"/>
    </xf>
    <xf numFmtId="0" fontId="65" fillId="49" borderId="96" xfId="0" applyFont="1" applyFill="1" applyBorder="1" applyAlignment="1">
      <alignment vertical="center" wrapText="1"/>
    </xf>
    <xf numFmtId="4" fontId="65" fillId="0" borderId="14" xfId="0" applyNumberFormat="1" applyFont="1" applyFill="1" applyBorder="1" applyAlignment="1">
      <alignment horizontal="right" vertical="center"/>
    </xf>
    <xf numFmtId="4" fontId="65" fillId="0" borderId="14" xfId="0" applyNumberFormat="1" applyFont="1" applyFill="1" applyBorder="1" applyAlignment="1">
      <alignment horizontal="right" vertical="center"/>
    </xf>
    <xf numFmtId="49" fontId="33" fillId="52" borderId="48" xfId="0" applyNumberFormat="1" applyFont="1" applyFill="1" applyBorder="1" applyAlignment="1">
      <alignment horizontal="center" vertical="center"/>
    </xf>
    <xf numFmtId="4" fontId="65" fillId="0" borderId="99" xfId="0" applyNumberFormat="1" applyFont="1" applyFill="1" applyBorder="1" applyAlignment="1">
      <alignment horizontal="right" vertical="center"/>
    </xf>
    <xf numFmtId="4" fontId="65" fillId="0" borderId="99" xfId="0" applyNumberFormat="1" applyFont="1" applyFill="1" applyBorder="1" applyAlignment="1">
      <alignment horizontal="right" vertical="center"/>
    </xf>
    <xf numFmtId="0" fontId="37" fillId="7" borderId="33" xfId="0" applyFont="1" applyFill="1" applyBorder="1" applyAlignment="1">
      <alignment horizontal="left" vertical="center"/>
    </xf>
    <xf numFmtId="0" fontId="37" fillId="7" borderId="65" xfId="0" applyFont="1" applyFill="1" applyBorder="1" applyAlignment="1">
      <alignment vertical="center"/>
    </xf>
    <xf numFmtId="0" fontId="33" fillId="7" borderId="65" xfId="0" applyFont="1" applyFill="1" applyBorder="1" applyAlignment="1">
      <alignment vertical="center"/>
    </xf>
    <xf numFmtId="4" fontId="93" fillId="7" borderId="24" xfId="0" applyNumberFormat="1" applyFont="1" applyFill="1" applyBorder="1" applyAlignment="1">
      <alignment vertical="center"/>
    </xf>
    <xf numFmtId="0" fontId="93" fillId="14" borderId="26" xfId="0" applyFont="1" applyFill="1" applyBorder="1" applyAlignment="1">
      <alignment horizontal="center" vertical="center"/>
    </xf>
    <xf numFmtId="0" fontId="93" fillId="14" borderId="13" xfId="0" applyFont="1" applyFill="1" applyBorder="1" applyAlignment="1">
      <alignment vertical="center"/>
    </xf>
    <xf numFmtId="0" fontId="33" fillId="14" borderId="13" xfId="0" applyFont="1" applyFill="1" applyBorder="1" applyAlignment="1">
      <alignment vertical="center"/>
    </xf>
    <xf numFmtId="4" fontId="37" fillId="14" borderId="29" xfId="0" applyNumberFormat="1" applyFont="1" applyFill="1" applyBorder="1" applyAlignment="1">
      <alignment vertical="center"/>
    </xf>
    <xf numFmtId="4" fontId="37" fillId="14" borderId="14" xfId="0" applyNumberFormat="1" applyFont="1" applyFill="1" applyBorder="1" applyAlignment="1">
      <alignment vertical="center"/>
    </xf>
    <xf numFmtId="49" fontId="93" fillId="35" borderId="17" xfId="0" applyNumberFormat="1" applyFont="1" applyFill="1" applyBorder="1" applyAlignment="1">
      <alignment horizontal="center" vertical="center"/>
    </xf>
    <xf numFmtId="49" fontId="37" fillId="35" borderId="26" xfId="0" applyNumberFormat="1" applyFont="1" applyFill="1" applyBorder="1" applyAlignment="1">
      <alignment horizontal="left" vertical="center"/>
    </xf>
    <xf numFmtId="0" fontId="37" fillId="35" borderId="13" xfId="0" applyFont="1" applyFill="1" applyBorder="1" applyAlignment="1">
      <alignment vertical="center"/>
    </xf>
    <xf numFmtId="4" fontId="37" fillId="35" borderId="29" xfId="0" applyNumberFormat="1" applyFont="1" applyFill="1" applyBorder="1" applyAlignment="1">
      <alignment horizontal="right" vertical="center"/>
    </xf>
    <xf numFmtId="4" fontId="37" fillId="35" borderId="14" xfId="0" applyNumberFormat="1" applyFont="1" applyFill="1" applyBorder="1" applyAlignment="1">
      <alignment horizontal="right" vertical="center"/>
    </xf>
    <xf numFmtId="0" fontId="33" fillId="0" borderId="28" xfId="0" applyFont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0" fontId="33" fillId="49" borderId="64" xfId="0" applyFont="1" applyFill="1" applyBorder="1" applyAlignment="1">
      <alignment vertical="center"/>
    </xf>
    <xf numFmtId="4" fontId="33" fillId="0" borderId="29" xfId="0" applyNumberFormat="1" applyFont="1" applyFill="1" applyBorder="1" applyAlignment="1">
      <alignment horizontal="right" vertical="center"/>
    </xf>
    <xf numFmtId="4" fontId="33" fillId="0" borderId="14" xfId="0" applyNumberFormat="1" applyFont="1" applyFill="1" applyBorder="1" applyAlignment="1">
      <alignment horizontal="right" vertical="center"/>
    </xf>
    <xf numFmtId="49" fontId="37" fillId="35" borderId="78" xfId="0" applyNumberFormat="1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49" fontId="27" fillId="35" borderId="26" xfId="0" applyNumberFormat="1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 wrapText="1"/>
    </xf>
    <xf numFmtId="4" fontId="33" fillId="0" borderId="70" xfId="0" applyNumberFormat="1" applyFont="1" applyFill="1" applyBorder="1" applyAlignment="1">
      <alignment horizontal="right" vertical="center"/>
    </xf>
    <xf numFmtId="4" fontId="33" fillId="0" borderId="99" xfId="0" applyNumberFormat="1" applyFont="1" applyFill="1" applyBorder="1" applyAlignment="1">
      <alignment horizontal="right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4" fontId="62" fillId="7" borderId="52" xfId="0" applyNumberFormat="1" applyFont="1" applyFill="1" applyBorder="1" applyAlignment="1">
      <alignment vertical="center"/>
    </xf>
    <xf numFmtId="0" fontId="65" fillId="14" borderId="96" xfId="0" applyFont="1" applyFill="1" applyBorder="1" applyAlignment="1">
      <alignment vertical="center"/>
    </xf>
    <xf numFmtId="4" fontId="27" fillId="14" borderId="51" xfId="0" applyNumberFormat="1" applyFont="1" applyFill="1" applyBorder="1" applyAlignment="1">
      <alignment vertical="center"/>
    </xf>
    <xf numFmtId="49" fontId="27" fillId="35" borderId="78" xfId="0" applyNumberFormat="1" applyFont="1" applyFill="1" applyBorder="1" applyAlignment="1">
      <alignment horizontal="left" vertical="center"/>
    </xf>
    <xf numFmtId="0" fontId="27" fillId="35" borderId="51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96" xfId="0" applyFont="1" applyFill="1" applyBorder="1" applyAlignment="1">
      <alignment vertical="center"/>
    </xf>
    <xf numFmtId="4" fontId="27" fillId="14" borderId="14" xfId="0" applyNumberFormat="1" applyFont="1" applyFill="1" applyBorder="1" applyAlignment="1">
      <alignment vertical="center"/>
    </xf>
    <xf numFmtId="0" fontId="65" fillId="49" borderId="96" xfId="0" applyFont="1" applyFill="1" applyBorder="1" applyAlignment="1">
      <alignment vertical="center"/>
    </xf>
    <xf numFmtId="0" fontId="65" fillId="49" borderId="96" xfId="0" applyFont="1" applyFill="1" applyBorder="1" applyAlignment="1">
      <alignment vertical="center" wrapText="1"/>
    </xf>
    <xf numFmtId="4" fontId="27" fillId="35" borderId="14" xfId="0" applyNumberFormat="1" applyFont="1" applyFill="1" applyBorder="1" applyAlignment="1">
      <alignment horizontal="right" vertical="center"/>
    </xf>
    <xf numFmtId="49" fontId="65" fillId="49" borderId="57" xfId="0" applyNumberFormat="1" applyFont="1" applyFill="1" applyBorder="1" applyAlignment="1">
      <alignment horizontal="center" vertical="center"/>
    </xf>
    <xf numFmtId="0" fontId="65" fillId="49" borderId="14" xfId="0" applyFont="1" applyFill="1" applyBorder="1" applyAlignment="1">
      <alignment vertical="center"/>
    </xf>
    <xf numFmtId="4" fontId="65" fillId="49" borderId="14" xfId="0" applyNumberFormat="1" applyFont="1" applyFill="1" applyBorder="1" applyAlignment="1">
      <alignment horizontal="right" vertical="center"/>
    </xf>
    <xf numFmtId="4" fontId="27" fillId="14" borderId="96" xfId="0" applyNumberFormat="1" applyFont="1" applyFill="1" applyBorder="1" applyAlignment="1">
      <alignment vertical="center"/>
    </xf>
    <xf numFmtId="0" fontId="65" fillId="49" borderId="14" xfId="0" applyFont="1" applyFill="1" applyBorder="1" applyAlignment="1">
      <alignment vertical="center" wrapText="1"/>
    </xf>
    <xf numFmtId="4" fontId="65" fillId="0" borderId="96" xfId="0" applyNumberFormat="1" applyFont="1" applyFill="1" applyBorder="1" applyAlignment="1">
      <alignment horizontal="right" vertical="center"/>
    </xf>
    <xf numFmtId="0" fontId="62" fillId="14" borderId="28" xfId="0" applyFont="1" applyFill="1" applyBorder="1" applyAlignment="1">
      <alignment horizontal="center" vertical="center"/>
    </xf>
    <xf numFmtId="49" fontId="62" fillId="14" borderId="64" xfId="0" applyNumberFormat="1" applyFont="1" applyFill="1" applyBorder="1" applyAlignment="1">
      <alignment horizontal="left" vertical="center"/>
    </xf>
    <xf numFmtId="0" fontId="65" fillId="18" borderId="96" xfId="0" applyFont="1" applyFill="1" applyBorder="1" applyAlignment="1">
      <alignment vertical="center"/>
    </xf>
    <xf numFmtId="4" fontId="27" fillId="14" borderId="96" xfId="0" applyNumberFormat="1" applyFont="1" applyFill="1" applyBorder="1" applyAlignment="1">
      <alignment horizontal="right" vertical="center"/>
    </xf>
    <xf numFmtId="49" fontId="27" fillId="35" borderId="25" xfId="0" applyNumberFormat="1" applyFont="1" applyFill="1" applyBorder="1" applyAlignment="1">
      <alignment horizontal="left" vertical="center"/>
    </xf>
    <xf numFmtId="0" fontId="65" fillId="35" borderId="96" xfId="0" applyFont="1" applyFill="1" applyBorder="1" applyAlignment="1">
      <alignment vertical="center"/>
    </xf>
    <xf numFmtId="0" fontId="65" fillId="0" borderId="99" xfId="0" applyFont="1" applyFill="1" applyBorder="1" applyAlignment="1">
      <alignment vertical="center" wrapText="1"/>
    </xf>
    <xf numFmtId="0" fontId="65" fillId="49" borderId="14" xfId="0" applyFont="1" applyFill="1" applyBorder="1" applyAlignment="1">
      <alignment horizontal="left" vertical="center" wrapText="1"/>
    </xf>
    <xf numFmtId="4" fontId="65" fillId="14" borderId="21" xfId="0" applyNumberFormat="1" applyFont="1" applyFill="1" applyBorder="1" applyAlignment="1">
      <alignment vertical="center"/>
    </xf>
    <xf numFmtId="49" fontId="65" fillId="0" borderId="17" xfId="0" applyNumberFormat="1" applyFont="1" applyFill="1" applyBorder="1" applyAlignment="1">
      <alignment horizontal="center" vertical="center"/>
    </xf>
    <xf numFmtId="49" fontId="65" fillId="49" borderId="17" xfId="0" applyNumberFormat="1" applyFont="1" applyFill="1" applyBorder="1" applyAlignment="1">
      <alignment horizontal="center" vertical="center"/>
    </xf>
    <xf numFmtId="4" fontId="65" fillId="49" borderId="31" xfId="0" applyNumberFormat="1" applyFont="1" applyFill="1" applyBorder="1" applyAlignment="1">
      <alignment horizontal="right" vertical="center"/>
    </xf>
    <xf numFmtId="0" fontId="27" fillId="35" borderId="58" xfId="0" applyFont="1" applyFill="1" applyBorder="1" applyAlignment="1">
      <alignment vertical="center"/>
    </xf>
    <xf numFmtId="0" fontId="33" fillId="50" borderId="23" xfId="0" applyFont="1" applyFill="1" applyBorder="1" applyAlignment="1">
      <alignment horizontal="center" vertical="center"/>
    </xf>
    <xf numFmtId="49" fontId="62" fillId="0" borderId="57" xfId="0" applyNumberFormat="1" applyFont="1" applyFill="1" applyBorder="1" applyAlignment="1">
      <alignment horizontal="center" vertical="center"/>
    </xf>
    <xf numFmtId="49" fontId="65" fillId="0" borderId="57" xfId="0" applyNumberFormat="1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vertical="center"/>
    </xf>
    <xf numFmtId="0" fontId="33" fillId="49" borderId="26" xfId="0" applyFont="1" applyFill="1" applyBorder="1" applyAlignment="1">
      <alignment horizontal="center" vertical="center"/>
    </xf>
    <xf numFmtId="4" fontId="33" fillId="49" borderId="29" xfId="0" applyNumberFormat="1" applyFont="1" applyFill="1" applyBorder="1" applyAlignment="1">
      <alignment vertical="center"/>
    </xf>
    <xf numFmtId="49" fontId="65" fillId="0" borderId="57" xfId="0" applyNumberFormat="1" applyFont="1" applyBorder="1" applyAlignment="1">
      <alignment horizontal="center" vertical="center"/>
    </xf>
    <xf numFmtId="0" fontId="33" fillId="50" borderId="48" xfId="0" applyFont="1" applyFill="1" applyBorder="1" applyAlignment="1">
      <alignment horizontal="center" vertical="center"/>
    </xf>
    <xf numFmtId="49" fontId="62" fillId="0" borderId="95" xfId="0" applyNumberFormat="1" applyFont="1" applyFill="1" applyBorder="1" applyAlignment="1">
      <alignment horizontal="center" vertical="center"/>
    </xf>
    <xf numFmtId="49" fontId="65" fillId="0" borderId="95" xfId="0" applyNumberFormat="1" applyFont="1" applyBorder="1" applyAlignment="1">
      <alignment horizontal="center" vertical="center"/>
    </xf>
    <xf numFmtId="0" fontId="65" fillId="0" borderId="58" xfId="0" applyFont="1" applyFill="1" applyBorder="1" applyAlignment="1">
      <alignment horizontal="left" vertical="center" wrapText="1"/>
    </xf>
    <xf numFmtId="0" fontId="33" fillId="49" borderId="38" xfId="0" applyFont="1" applyFill="1" applyBorder="1" applyAlignment="1">
      <alignment horizontal="left" vertical="center" wrapText="1"/>
    </xf>
    <xf numFmtId="0" fontId="65" fillId="0" borderId="58" xfId="0" applyFont="1" applyBorder="1" applyAlignment="1">
      <alignment horizontal="left" vertical="center" wrapText="1"/>
    </xf>
    <xf numFmtId="49" fontId="65" fillId="49" borderId="95" xfId="0" applyNumberFormat="1" applyFont="1" applyFill="1" applyBorder="1" applyAlignment="1">
      <alignment horizontal="center" vertical="center"/>
    </xf>
    <xf numFmtId="4" fontId="65" fillId="49" borderId="70" xfId="0" applyNumberFormat="1" applyFont="1" applyFill="1" applyBorder="1" applyAlignment="1">
      <alignment horizontal="right" vertical="center"/>
    </xf>
    <xf numFmtId="4" fontId="62" fillId="7" borderId="75" xfId="0" applyNumberFormat="1" applyFont="1" applyFill="1" applyBorder="1" applyAlignment="1">
      <alignment vertical="center"/>
    </xf>
    <xf numFmtId="4" fontId="27" fillId="14" borderId="79" xfId="0" applyNumberFormat="1" applyFont="1" applyFill="1" applyBorder="1" applyAlignment="1">
      <alignment vertical="center"/>
    </xf>
    <xf numFmtId="4" fontId="65" fillId="0" borderId="76" xfId="0" applyNumberFormat="1" applyFont="1" applyFill="1" applyBorder="1" applyAlignment="1">
      <alignment horizontal="right" vertical="center"/>
    </xf>
    <xf numFmtId="0" fontId="65" fillId="0" borderId="30" xfId="0" applyFont="1" applyFill="1" applyBorder="1" applyAlignment="1">
      <alignment horizontal="center" vertical="center"/>
    </xf>
    <xf numFmtId="49" fontId="65" fillId="0" borderId="95" xfId="0" applyNumberFormat="1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49" fontId="87" fillId="0" borderId="98" xfId="0" applyNumberFormat="1" applyFont="1" applyFill="1" applyBorder="1" applyAlignment="1">
      <alignment horizontal="center" vertical="center"/>
    </xf>
    <xf numFmtId="0" fontId="62" fillId="49" borderId="108" xfId="0" applyFont="1" applyFill="1" applyBorder="1" applyAlignment="1">
      <alignment vertical="center"/>
    </xf>
    <xf numFmtId="4" fontId="62" fillId="0" borderId="59" xfId="0" applyNumberFormat="1" applyFont="1" applyFill="1" applyBorder="1" applyAlignment="1">
      <alignment horizontal="right" vertical="center"/>
    </xf>
    <xf numFmtId="0" fontId="87" fillId="49" borderId="96" xfId="0" applyFont="1" applyFill="1" applyBorder="1" applyAlignment="1">
      <alignment vertical="center"/>
    </xf>
    <xf numFmtId="4" fontId="87" fillId="0" borderId="72" xfId="0" applyNumberFormat="1" applyFont="1" applyFill="1" applyBorder="1" applyAlignment="1">
      <alignment horizontal="right" vertical="center"/>
    </xf>
    <xf numFmtId="4" fontId="87" fillId="0" borderId="31" xfId="0" applyNumberFormat="1" applyFont="1" applyFill="1" applyBorder="1" applyAlignment="1">
      <alignment horizontal="right" vertical="center"/>
    </xf>
    <xf numFmtId="0" fontId="87" fillId="49" borderId="14" xfId="0" applyFont="1" applyFill="1" applyBorder="1" applyAlignment="1">
      <alignment vertical="center"/>
    </xf>
    <xf numFmtId="4" fontId="87" fillId="0" borderId="29" xfId="0" applyNumberFormat="1" applyFont="1" applyFill="1" applyBorder="1" applyAlignment="1">
      <alignment horizontal="right" vertical="center"/>
    </xf>
    <xf numFmtId="4" fontId="87" fillId="0" borderId="96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/>
    </xf>
    <xf numFmtId="0" fontId="65" fillId="49" borderId="51" xfId="0" applyFont="1" applyFill="1" applyBorder="1" applyAlignment="1">
      <alignment vertical="center"/>
    </xf>
    <xf numFmtId="4" fontId="65" fillId="0" borderId="79" xfId="0" applyNumberFormat="1" applyFont="1" applyFill="1" applyBorder="1" applyAlignment="1">
      <alignment horizontal="right" vertical="center"/>
    </xf>
    <xf numFmtId="0" fontId="65" fillId="0" borderId="17" xfId="0" applyFont="1" applyFill="1" applyBorder="1" applyAlignment="1">
      <alignment horizontal="center" vertical="center"/>
    </xf>
    <xf numFmtId="1" fontId="33" fillId="52" borderId="23" xfId="0" applyNumberFormat="1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center" vertical="center"/>
    </xf>
    <xf numFmtId="49" fontId="65" fillId="0" borderId="57" xfId="0" applyNumberFormat="1" applyFont="1" applyFill="1" applyBorder="1" applyAlignment="1">
      <alignment horizontal="center" vertical="center"/>
    </xf>
    <xf numFmtId="4" fontId="87" fillId="0" borderId="92" xfId="0" applyNumberFormat="1" applyFont="1" applyFill="1" applyBorder="1" applyAlignment="1">
      <alignment horizontal="right" vertical="center"/>
    </xf>
    <xf numFmtId="4" fontId="87" fillId="0" borderId="27" xfId="0" applyNumberFormat="1" applyFont="1" applyFill="1" applyBorder="1" applyAlignment="1">
      <alignment horizontal="right" vertical="center"/>
    </xf>
    <xf numFmtId="0" fontId="65" fillId="0" borderId="95" xfId="0" applyFont="1" applyFill="1" applyBorder="1" applyAlignment="1">
      <alignment horizontal="center" vertical="center"/>
    </xf>
    <xf numFmtId="0" fontId="65" fillId="49" borderId="93" xfId="0" applyFont="1" applyFill="1" applyBorder="1" applyAlignment="1">
      <alignment vertical="center"/>
    </xf>
    <xf numFmtId="4" fontId="65" fillId="0" borderId="102" xfId="0" applyNumberFormat="1" applyFont="1" applyFill="1" applyBorder="1" applyAlignment="1">
      <alignment horizontal="right" vertical="center"/>
    </xf>
    <xf numFmtId="0" fontId="65" fillId="0" borderId="74" xfId="0" applyFont="1" applyFill="1" applyBorder="1" applyAlignment="1">
      <alignment horizontal="center" vertical="center"/>
    </xf>
    <xf numFmtId="49" fontId="65" fillId="0" borderId="74" xfId="0" applyNumberFormat="1" applyFont="1" applyFill="1" applyBorder="1" applyAlignment="1">
      <alignment horizontal="center" vertical="center"/>
    </xf>
    <xf numFmtId="0" fontId="27" fillId="49" borderId="108" xfId="0" applyFont="1" applyFill="1" applyBorder="1" applyAlignment="1">
      <alignment vertical="center"/>
    </xf>
    <xf numFmtId="4" fontId="27" fillId="0" borderId="80" xfId="0" applyNumberFormat="1" applyFont="1" applyFill="1" applyBorder="1" applyAlignment="1">
      <alignment horizontal="right" vertical="center"/>
    </xf>
    <xf numFmtId="4" fontId="27" fillId="0" borderId="108" xfId="0" applyNumberFormat="1" applyFont="1" applyFill="1" applyBorder="1" applyAlignment="1">
      <alignment horizontal="right" vertical="center"/>
    </xf>
    <xf numFmtId="0" fontId="65" fillId="49" borderId="92" xfId="0" applyFont="1" applyFill="1" applyBorder="1" applyAlignment="1">
      <alignment vertical="center"/>
    </xf>
    <xf numFmtId="0" fontId="65" fillId="49" borderId="92" xfId="0" applyFont="1" applyFill="1" applyBorder="1" applyAlignment="1">
      <alignment vertical="center" wrapText="1"/>
    </xf>
    <xf numFmtId="0" fontId="27" fillId="35" borderId="57" xfId="0" applyFont="1" applyFill="1" applyBorder="1" applyAlignment="1">
      <alignment vertical="center"/>
    </xf>
    <xf numFmtId="0" fontId="27" fillId="35" borderId="92" xfId="0" applyFont="1" applyFill="1" applyBorder="1" applyAlignment="1">
      <alignment vertical="center"/>
    </xf>
    <xf numFmtId="4" fontId="27" fillId="35" borderId="77" xfId="0" applyNumberFormat="1" applyFont="1" applyFill="1" applyBorder="1" applyAlignment="1">
      <alignment horizontal="right" vertical="center"/>
    </xf>
    <xf numFmtId="0" fontId="27" fillId="35" borderId="77" xfId="0" applyFont="1" applyFill="1" applyBorder="1" applyAlignment="1">
      <alignment vertical="center"/>
    </xf>
    <xf numFmtId="4" fontId="27" fillId="35" borderId="77" xfId="0" applyNumberFormat="1" applyFont="1" applyFill="1" applyBorder="1" applyAlignment="1">
      <alignment vertical="center"/>
    </xf>
    <xf numFmtId="1" fontId="33" fillId="52" borderId="48" xfId="0" applyNumberFormat="1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vertical="center"/>
    </xf>
    <xf numFmtId="0" fontId="87" fillId="49" borderId="14" xfId="0" applyFont="1" applyFill="1" applyBorder="1" applyAlignment="1">
      <alignment horizontal="left" vertical="center" wrapText="1"/>
    </xf>
    <xf numFmtId="0" fontId="23" fillId="50" borderId="42" xfId="0" applyFont="1" applyFill="1" applyBorder="1" applyAlignment="1">
      <alignment horizontal="center" vertical="center"/>
    </xf>
    <xf numFmtId="0" fontId="22" fillId="54" borderId="77" xfId="0" applyFont="1" applyFill="1" applyBorder="1" applyAlignment="1">
      <alignment horizontal="left" vertical="center" wrapText="1"/>
    </xf>
    <xf numFmtId="0" fontId="23" fillId="50" borderId="43" xfId="0" applyFont="1" applyFill="1" applyBorder="1" applyAlignment="1">
      <alignment horizontal="center" vertical="center"/>
    </xf>
    <xf numFmtId="0" fontId="23" fillId="50" borderId="23" xfId="0" applyFont="1" applyFill="1" applyBorder="1" applyAlignment="1">
      <alignment horizontal="center" vertical="center"/>
    </xf>
    <xf numFmtId="0" fontId="23" fillId="50" borderId="36" xfId="0" applyFont="1" applyFill="1" applyBorder="1" applyAlignment="1">
      <alignment horizontal="center" vertical="center"/>
    </xf>
    <xf numFmtId="0" fontId="26" fillId="11" borderId="107" xfId="0" applyFont="1" applyFill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123" xfId="0" applyFont="1" applyBorder="1" applyAlignment="1">
      <alignment horizontal="left" vertical="center" wrapText="1"/>
    </xf>
    <xf numFmtId="0" fontId="23" fillId="50" borderId="44" xfId="0" applyFont="1" applyFill="1" applyBorder="1" applyAlignment="1">
      <alignment horizontal="center" vertical="center"/>
    </xf>
    <xf numFmtId="0" fontId="23" fillId="50" borderId="46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50" borderId="47" xfId="0" applyFont="1" applyFill="1" applyBorder="1" applyAlignment="1">
      <alignment horizontal="center" vertical="center"/>
    </xf>
    <xf numFmtId="0" fontId="23" fillId="19" borderId="46" xfId="0" applyFont="1" applyFill="1" applyBorder="1" applyAlignment="1">
      <alignment horizontal="center" vertical="center"/>
    </xf>
    <xf numFmtId="0" fontId="29" fillId="50" borderId="46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left" vertical="center" wrapText="1"/>
    </xf>
    <xf numFmtId="0" fontId="23" fillId="21" borderId="46" xfId="0" applyFont="1" applyFill="1" applyBorder="1" applyAlignment="1">
      <alignment horizontal="center" vertical="center"/>
    </xf>
    <xf numFmtId="0" fontId="26" fillId="21" borderId="33" xfId="0" applyFont="1" applyFill="1" applyBorder="1" applyAlignment="1">
      <alignment horizontal="left" vertical="center" wrapText="1"/>
    </xf>
    <xf numFmtId="0" fontId="22" fillId="3" borderId="49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left" vertical="center" wrapText="1"/>
    </xf>
    <xf numFmtId="0" fontId="65" fillId="0" borderId="71" xfId="0" applyFont="1" applyFill="1" applyBorder="1" applyAlignment="1">
      <alignment horizontal="left" vertical="center" wrapText="1"/>
    </xf>
    <xf numFmtId="0" fontId="65" fillId="0" borderId="3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4" fontId="62" fillId="29" borderId="29" xfId="0" applyNumberFormat="1" applyFont="1" applyFill="1" applyBorder="1" applyAlignment="1">
      <alignment horizontal="right" vertical="center"/>
    </xf>
    <xf numFmtId="0" fontId="33" fillId="50" borderId="37" xfId="0" applyFont="1" applyFill="1" applyBorder="1" applyAlignment="1">
      <alignment horizontal="center" vertical="center"/>
    </xf>
    <xf numFmtId="4" fontId="65" fillId="0" borderId="51" xfId="0" applyNumberFormat="1" applyFont="1" applyFill="1" applyBorder="1" applyAlignment="1">
      <alignment horizontal="right" vertical="center"/>
    </xf>
    <xf numFmtId="0" fontId="33" fillId="50" borderId="12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left" vertical="center" wrapText="1"/>
    </xf>
    <xf numFmtId="0" fontId="140" fillId="0" borderId="0" xfId="0" applyFont="1" applyAlignment="1">
      <alignment horizontal="left" vertical="center"/>
    </xf>
    <xf numFmtId="0" fontId="141" fillId="0" borderId="0" xfId="0" applyFont="1" applyAlignment="1">
      <alignment horizontal="left" vertical="center"/>
    </xf>
    <xf numFmtId="0" fontId="23" fillId="49" borderId="96" xfId="0" applyFont="1" applyFill="1" applyBorder="1" applyAlignment="1">
      <alignment horizontal="left" vertical="center" wrapText="1"/>
    </xf>
    <xf numFmtId="49" fontId="30" fillId="35" borderId="17" xfId="0" applyNumberFormat="1" applyFont="1" applyFill="1" applyBorder="1" applyAlignment="1">
      <alignment horizontal="center" vertical="center"/>
    </xf>
    <xf numFmtId="49" fontId="30" fillId="35" borderId="57" xfId="0" applyNumberFormat="1" applyFont="1" applyFill="1" applyBorder="1" applyAlignment="1">
      <alignment horizontal="center" vertical="center"/>
    </xf>
    <xf numFmtId="0" fontId="32" fillId="52" borderId="42" xfId="0" applyFont="1" applyFill="1" applyBorder="1" applyAlignment="1">
      <alignment horizontal="center" vertical="center"/>
    </xf>
    <xf numFmtId="0" fontId="32" fillId="50" borderId="43" xfId="0" applyFont="1" applyFill="1" applyBorder="1" applyAlignment="1">
      <alignment horizontal="center" vertical="center"/>
    </xf>
    <xf numFmtId="0" fontId="32" fillId="52" borderId="48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30" fillId="0" borderId="100" xfId="0" applyNumberFormat="1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49" fontId="30" fillId="35" borderId="15" xfId="0" applyNumberFormat="1" applyFont="1" applyFill="1" applyBorder="1" applyAlignment="1">
      <alignment horizontal="center" vertical="center"/>
    </xf>
    <xf numFmtId="49" fontId="32" fillId="52" borderId="43" xfId="0" applyNumberFormat="1" applyFont="1" applyFill="1" applyBorder="1" applyAlignment="1">
      <alignment horizontal="center" vertical="center"/>
    </xf>
    <xf numFmtId="0" fontId="32" fillId="52" borderId="49" xfId="0" applyFont="1" applyFill="1" applyBorder="1" applyAlignment="1">
      <alignment horizontal="center" vertical="center"/>
    </xf>
    <xf numFmtId="0" fontId="66" fillId="0" borderId="43" xfId="0" applyFont="1" applyBorder="1" applyAlignment="1">
      <alignment vertical="center"/>
    </xf>
    <xf numFmtId="201" fontId="66" fillId="0" borderId="77" xfId="0" applyNumberFormat="1" applyFont="1" applyBorder="1" applyAlignment="1">
      <alignment vertical="center"/>
    </xf>
    <xf numFmtId="0" fontId="66" fillId="0" borderId="48" xfId="0" applyFont="1" applyBorder="1" applyAlignment="1">
      <alignment vertical="center" wrapText="1"/>
    </xf>
    <xf numFmtId="201" fontId="66" fillId="0" borderId="102" xfId="0" applyNumberFormat="1" applyFont="1" applyBorder="1" applyAlignment="1">
      <alignment vertical="center"/>
    </xf>
    <xf numFmtId="0" fontId="66" fillId="0" borderId="43" xfId="0" applyFont="1" applyBorder="1" applyAlignment="1">
      <alignment vertical="center" wrapText="1"/>
    </xf>
    <xf numFmtId="0" fontId="66" fillId="0" borderId="48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201" fontId="66" fillId="0" borderId="76" xfId="0" applyNumberFormat="1" applyFont="1" applyBorder="1" applyAlignment="1">
      <alignment vertical="center"/>
    </xf>
    <xf numFmtId="0" fontId="142" fillId="0" borderId="59" xfId="0" applyFont="1" applyBorder="1" applyAlignment="1">
      <alignment/>
    </xf>
    <xf numFmtId="201" fontId="142" fillId="0" borderId="59" xfId="0" applyNumberFormat="1" applyFont="1" applyFill="1" applyBorder="1" applyAlignment="1">
      <alignment/>
    </xf>
    <xf numFmtId="0" fontId="143" fillId="0" borderId="59" xfId="0" applyFont="1" applyBorder="1" applyAlignment="1">
      <alignment vertical="center"/>
    </xf>
    <xf numFmtId="201" fontId="143" fillId="0" borderId="59" xfId="0" applyNumberFormat="1" applyFont="1" applyBorder="1" applyAlignment="1">
      <alignment vertical="center"/>
    </xf>
    <xf numFmtId="0" fontId="143" fillId="0" borderId="36" xfId="0" applyFont="1" applyBorder="1" applyAlignment="1">
      <alignment vertical="center"/>
    </xf>
    <xf numFmtId="201" fontId="143" fillId="0" borderId="80" xfId="0" applyNumberFormat="1" applyFont="1" applyBorder="1" applyAlignment="1">
      <alignment vertical="center"/>
    </xf>
    <xf numFmtId="0" fontId="67" fillId="50" borderId="59" xfId="0" applyFont="1" applyFill="1" applyBorder="1" applyAlignment="1">
      <alignment/>
    </xf>
    <xf numFmtId="201" fontId="67" fillId="50" borderId="59" xfId="0" applyNumberFormat="1" applyFont="1" applyFill="1" applyBorder="1" applyAlignment="1">
      <alignment/>
    </xf>
    <xf numFmtId="2" fontId="63" fillId="0" borderId="0" xfId="0" applyNumberFormat="1" applyFont="1" applyFill="1" applyAlignment="1">
      <alignment vertical="center" wrapText="1"/>
    </xf>
    <xf numFmtId="0" fontId="65" fillId="0" borderId="84" xfId="0" applyFont="1" applyFill="1" applyBorder="1" applyAlignment="1">
      <alignment vertical="center" wrapText="1"/>
    </xf>
    <xf numFmtId="3" fontId="28" fillId="0" borderId="64" xfId="0" applyNumberFormat="1" applyFont="1" applyFill="1" applyBorder="1" applyAlignment="1">
      <alignment horizontal="center" vertical="center" wrapText="1"/>
    </xf>
    <xf numFmtId="3" fontId="28" fillId="49" borderId="39" xfId="0" applyNumberFormat="1" applyFont="1" applyFill="1" applyBorder="1" applyAlignment="1">
      <alignment horizontal="center" vertical="center" wrapText="1"/>
    </xf>
    <xf numFmtId="3" fontId="28" fillId="49" borderId="38" xfId="0" applyNumberFormat="1" applyFont="1" applyFill="1" applyBorder="1" applyAlignment="1">
      <alignment horizontal="center" vertical="center" wrapText="1"/>
    </xf>
    <xf numFmtId="0" fontId="28" fillId="49" borderId="38" xfId="0" applyFont="1" applyFill="1" applyBorder="1" applyAlignment="1">
      <alignment horizontal="center" vertical="center" wrapText="1"/>
    </xf>
    <xf numFmtId="0" fontId="65" fillId="49" borderId="92" xfId="0" applyFont="1" applyFill="1" applyBorder="1" applyAlignment="1">
      <alignment horizontal="left" vertical="center" wrapText="1"/>
    </xf>
    <xf numFmtId="0" fontId="39" fillId="50" borderId="0" xfId="0" applyFont="1" applyFill="1" applyAlignment="1">
      <alignment vertical="center"/>
    </xf>
    <xf numFmtId="4" fontId="65" fillId="0" borderId="35" xfId="0" applyNumberFormat="1" applyFont="1" applyFill="1" applyBorder="1" applyAlignment="1">
      <alignment horizontal="right" vertical="center"/>
    </xf>
    <xf numFmtId="0" fontId="65" fillId="49" borderId="35" xfId="0" applyFont="1" applyFill="1" applyBorder="1" applyAlignment="1">
      <alignment horizontal="left" vertical="center" wrapText="1"/>
    </xf>
    <xf numFmtId="0" fontId="65" fillId="49" borderId="99" xfId="0" applyFont="1" applyFill="1" applyBorder="1" applyAlignment="1">
      <alignment vertical="center" wrapText="1"/>
    </xf>
    <xf numFmtId="4" fontId="65" fillId="50" borderId="76" xfId="0" applyNumberFormat="1" applyFont="1" applyFill="1" applyBorder="1" applyAlignment="1">
      <alignment horizontal="right" vertical="center"/>
    </xf>
    <xf numFmtId="49" fontId="32" fillId="0" borderId="9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4" fontId="65" fillId="57" borderId="72" xfId="0" applyNumberFormat="1" applyFont="1" applyFill="1" applyBorder="1" applyAlignment="1">
      <alignment horizontal="right" vertical="center"/>
    </xf>
    <xf numFmtId="4" fontId="65" fillId="57" borderId="29" xfId="0" applyNumberFormat="1" applyFont="1" applyFill="1" applyBorder="1" applyAlignment="1">
      <alignment horizontal="right" vertical="center"/>
    </xf>
    <xf numFmtId="4" fontId="65" fillId="57" borderId="34" xfId="0" applyNumberFormat="1" applyFont="1" applyFill="1" applyBorder="1" applyAlignment="1">
      <alignment horizontal="right" vertical="center"/>
    </xf>
    <xf numFmtId="4" fontId="65" fillId="57" borderId="77" xfId="0" applyNumberFormat="1" applyFont="1" applyFill="1" applyBorder="1" applyAlignment="1">
      <alignment horizontal="right"/>
    </xf>
    <xf numFmtId="4" fontId="65" fillId="57" borderId="0" xfId="0" applyNumberFormat="1" applyFont="1" applyFill="1" applyBorder="1" applyAlignment="1">
      <alignment horizontal="right" vertical="center"/>
    </xf>
    <xf numFmtId="4" fontId="65" fillId="57" borderId="14" xfId="0" applyNumberFormat="1" applyFont="1" applyFill="1" applyBorder="1" applyAlignment="1">
      <alignment horizontal="right" vertical="center"/>
    </xf>
    <xf numFmtId="4" fontId="28" fillId="57" borderId="0" xfId="0" applyNumberFormat="1" applyFont="1" applyFill="1" applyBorder="1" applyAlignment="1">
      <alignment horizontal="left" vertical="center"/>
    </xf>
    <xf numFmtId="4" fontId="28" fillId="57" borderId="0" xfId="0" applyNumberFormat="1" applyFont="1" applyFill="1" applyBorder="1" applyAlignment="1">
      <alignment horizontal="right" vertical="center"/>
    </xf>
    <xf numFmtId="4" fontId="25" fillId="57" borderId="0" xfId="0" applyNumberFormat="1" applyFont="1" applyFill="1" applyBorder="1" applyAlignment="1">
      <alignment horizontal="left" vertical="center"/>
    </xf>
    <xf numFmtId="0" fontId="67" fillId="0" borderId="26" xfId="0" applyFont="1" applyBorder="1" applyAlignment="1">
      <alignment vertical="center"/>
    </xf>
    <xf numFmtId="201" fontId="66" fillId="0" borderId="26" xfId="0" applyNumberFormat="1" applyFont="1" applyBorder="1" applyAlignment="1">
      <alignment vertical="center"/>
    </xf>
    <xf numFmtId="201" fontId="66" fillId="0" borderId="26" xfId="0" applyNumberFormat="1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201" fontId="67" fillId="0" borderId="26" xfId="0" applyNumberFormat="1" applyFont="1" applyBorder="1" applyAlignment="1">
      <alignment vertical="center"/>
    </xf>
    <xf numFmtId="0" fontId="67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26" xfId="0" applyFont="1" applyFill="1" applyBorder="1" applyAlignment="1">
      <alignment vertical="center" wrapText="1"/>
    </xf>
    <xf numFmtId="201" fontId="98" fillId="0" borderId="26" xfId="0" applyNumberFormat="1" applyFont="1" applyBorder="1" applyAlignment="1">
      <alignment vertical="center"/>
    </xf>
    <xf numFmtId="201" fontId="98" fillId="0" borderId="26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horizontal="justify" vertical="center"/>
    </xf>
    <xf numFmtId="0" fontId="66" fillId="0" borderId="0" xfId="0" applyFont="1" applyFill="1" applyBorder="1" applyAlignment="1">
      <alignment horizontal="right" vertical="center"/>
    </xf>
    <xf numFmtId="0" fontId="135" fillId="0" borderId="0" xfId="0" applyFont="1" applyFill="1" applyBorder="1" applyAlignment="1">
      <alignment horizontal="justify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vertical="center"/>
    </xf>
    <xf numFmtId="201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49" fontId="63" fillId="52" borderId="31" xfId="0" applyNumberFormat="1" applyFont="1" applyFill="1" applyBorder="1" applyAlignment="1">
      <alignment horizontal="left" vertical="center"/>
    </xf>
    <xf numFmtId="49" fontId="63" fillId="52" borderId="70" xfId="0" applyNumberFormat="1" applyFont="1" applyFill="1" applyBorder="1" applyAlignment="1">
      <alignment horizontal="left" vertical="center"/>
    </xf>
    <xf numFmtId="4" fontId="65" fillId="57" borderId="48" xfId="0" applyNumberFormat="1" applyFont="1" applyFill="1" applyBorder="1" applyAlignment="1">
      <alignment horizontal="right" vertical="center"/>
    </xf>
    <xf numFmtId="4" fontId="65" fillId="57" borderId="30" xfId="0" applyNumberFormat="1" applyFont="1" applyFill="1" applyBorder="1" applyAlignment="1">
      <alignment horizontal="right" vertical="center"/>
    </xf>
    <xf numFmtId="4" fontId="65" fillId="57" borderId="51" xfId="0" applyNumberFormat="1" applyFont="1" applyFill="1" applyBorder="1" applyAlignment="1">
      <alignment horizontal="right" vertical="center"/>
    </xf>
    <xf numFmtId="0" fontId="33" fillId="0" borderId="91" xfId="0" applyFont="1" applyBorder="1" applyAlignment="1">
      <alignment horizontal="center" vertical="center"/>
    </xf>
    <xf numFmtId="0" fontId="33" fillId="0" borderId="66" xfId="0" applyFont="1" applyFill="1" applyBorder="1" applyAlignment="1">
      <alignment vertical="center" wrapText="1"/>
    </xf>
    <xf numFmtId="0" fontId="27" fillId="35" borderId="124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7" fillId="26" borderId="109" xfId="0" applyFont="1" applyFill="1" applyBorder="1" applyAlignment="1">
      <alignment horizontal="center" vertical="center"/>
    </xf>
    <xf numFmtId="0" fontId="27" fillId="26" borderId="107" xfId="0" applyFont="1" applyFill="1" applyBorder="1" applyAlignment="1">
      <alignment horizontal="center" vertical="center"/>
    </xf>
    <xf numFmtId="0" fontId="27" fillId="26" borderId="108" xfId="0" applyFont="1" applyFill="1" applyBorder="1" applyAlignment="1">
      <alignment horizontal="center" vertical="center"/>
    </xf>
    <xf numFmtId="0" fontId="27" fillId="35" borderId="125" xfId="0" applyFont="1" applyFill="1" applyBorder="1" applyAlignment="1">
      <alignment horizontal="center" vertical="center"/>
    </xf>
    <xf numFmtId="0" fontId="27" fillId="35" borderId="67" xfId="0" applyFont="1" applyFill="1" applyBorder="1" applyAlignment="1">
      <alignment horizontal="center" vertical="center"/>
    </xf>
    <xf numFmtId="0" fontId="27" fillId="35" borderId="126" xfId="0" applyFont="1" applyFill="1" applyBorder="1" applyAlignment="1">
      <alignment horizontal="center" vertical="center"/>
    </xf>
    <xf numFmtId="0" fontId="27" fillId="35" borderId="109" xfId="0" applyFont="1" applyFill="1" applyBorder="1" applyAlignment="1">
      <alignment horizontal="center" vertical="center"/>
    </xf>
    <xf numFmtId="0" fontId="27" fillId="35" borderId="107" xfId="0" applyFont="1" applyFill="1" applyBorder="1" applyAlignment="1">
      <alignment horizontal="center" vertical="center"/>
    </xf>
    <xf numFmtId="0" fontId="27" fillId="35" borderId="10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87" fillId="49" borderId="38" xfId="0" applyFont="1" applyFill="1" applyBorder="1" applyAlignment="1">
      <alignment horizontal="left" vertical="center" wrapText="1"/>
    </xf>
    <xf numFmtId="0" fontId="87" fillId="49" borderId="14" xfId="0" applyFont="1" applyFill="1" applyBorder="1" applyAlignment="1">
      <alignment horizontal="left" vertical="center" wrapText="1"/>
    </xf>
    <xf numFmtId="0" fontId="62" fillId="3" borderId="109" xfId="0" applyFont="1" applyFill="1" applyBorder="1" applyAlignment="1">
      <alignment horizontal="center" vertical="center"/>
    </xf>
    <xf numFmtId="0" fontId="62" fillId="3" borderId="107" xfId="0" applyFont="1" applyFill="1" applyBorder="1" applyAlignment="1">
      <alignment horizontal="center" vertical="center"/>
    </xf>
    <xf numFmtId="0" fontId="62" fillId="3" borderId="108" xfId="0" applyFont="1" applyFill="1" applyBorder="1" applyAlignment="1">
      <alignment horizontal="center" vertical="center"/>
    </xf>
    <xf numFmtId="0" fontId="62" fillId="44" borderId="109" xfId="0" applyFont="1" applyFill="1" applyBorder="1" applyAlignment="1">
      <alignment horizontal="center" vertical="center"/>
    </xf>
    <xf numFmtId="0" fontId="62" fillId="44" borderId="107" xfId="0" applyFont="1" applyFill="1" applyBorder="1" applyAlignment="1">
      <alignment horizontal="center" vertical="center"/>
    </xf>
    <xf numFmtId="0" fontId="62" fillId="44" borderId="108" xfId="0" applyFont="1" applyFill="1" applyBorder="1" applyAlignment="1">
      <alignment horizontal="center" vertical="center"/>
    </xf>
    <xf numFmtId="0" fontId="31" fillId="26" borderId="109" xfId="0" applyFont="1" applyFill="1" applyBorder="1" applyAlignment="1">
      <alignment horizontal="center" vertical="center"/>
    </xf>
    <xf numFmtId="0" fontId="31" fillId="26" borderId="107" xfId="0" applyFont="1" applyFill="1" applyBorder="1" applyAlignment="1">
      <alignment horizontal="center" vertical="center"/>
    </xf>
    <xf numFmtId="0" fontId="31" fillId="26" borderId="108" xfId="0" applyFont="1" applyFill="1" applyBorder="1" applyAlignment="1">
      <alignment horizontal="center" vertical="center"/>
    </xf>
    <xf numFmtId="0" fontId="62" fillId="35" borderId="109" xfId="0" applyFont="1" applyFill="1" applyBorder="1" applyAlignment="1">
      <alignment horizontal="center" vertical="center"/>
    </xf>
    <xf numFmtId="0" fontId="62" fillId="35" borderId="107" xfId="0" applyFont="1" applyFill="1" applyBorder="1" applyAlignment="1">
      <alignment horizontal="center" vertical="center"/>
    </xf>
    <xf numFmtId="0" fontId="62" fillId="35" borderId="108" xfId="0" applyFont="1" applyFill="1" applyBorder="1" applyAlignment="1">
      <alignment horizontal="center" vertical="center"/>
    </xf>
    <xf numFmtId="49" fontId="27" fillId="35" borderId="109" xfId="0" applyNumberFormat="1" applyFont="1" applyFill="1" applyBorder="1" applyAlignment="1">
      <alignment horizontal="center" vertical="center"/>
    </xf>
    <xf numFmtId="49" fontId="27" fillId="35" borderId="107" xfId="0" applyNumberFormat="1" applyFont="1" applyFill="1" applyBorder="1" applyAlignment="1">
      <alignment horizontal="center" vertical="center"/>
    </xf>
    <xf numFmtId="49" fontId="27" fillId="35" borderId="108" xfId="0" applyNumberFormat="1" applyFont="1" applyFill="1" applyBorder="1" applyAlignment="1">
      <alignment horizontal="center" vertical="center"/>
    </xf>
    <xf numFmtId="0" fontId="65" fillId="49" borderId="38" xfId="0" applyFont="1" applyFill="1" applyBorder="1" applyAlignment="1">
      <alignment horizontal="left" vertical="center" wrapText="1"/>
    </xf>
    <xf numFmtId="0" fontId="65" fillId="49" borderId="14" xfId="0" applyFont="1" applyFill="1" applyBorder="1" applyAlignment="1">
      <alignment horizontal="left" vertical="center" wrapText="1"/>
    </xf>
    <xf numFmtId="49" fontId="21" fillId="36" borderId="110" xfId="0" applyNumberFormat="1" applyFont="1" applyFill="1" applyBorder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36" borderId="50" xfId="0" applyNumberFormat="1" applyFont="1" applyFill="1" applyBorder="1" applyAlignment="1">
      <alignment horizontal="center" vertical="center"/>
    </xf>
    <xf numFmtId="49" fontId="21" fillId="36" borderId="127" xfId="0" applyNumberFormat="1" applyFont="1" applyFill="1" applyBorder="1" applyAlignment="1">
      <alignment horizontal="center" vertical="center"/>
    </xf>
    <xf numFmtId="49" fontId="21" fillId="36" borderId="98" xfId="0" applyNumberFormat="1" applyFont="1" applyFill="1" applyBorder="1" applyAlignment="1">
      <alignment horizontal="center" vertical="center"/>
    </xf>
    <xf numFmtId="49" fontId="21" fillId="36" borderId="99" xfId="0" applyNumberFormat="1" applyFont="1" applyFill="1" applyBorder="1" applyAlignment="1">
      <alignment horizontal="center" vertical="center"/>
    </xf>
    <xf numFmtId="0" fontId="46" fillId="36" borderId="105" xfId="0" applyFont="1" applyFill="1" applyBorder="1" applyAlignment="1">
      <alignment horizontal="center" vertical="center"/>
    </xf>
    <xf numFmtId="0" fontId="46" fillId="36" borderId="50" xfId="0" applyFont="1" applyFill="1" applyBorder="1" applyAlignment="1">
      <alignment horizontal="center" vertical="center"/>
    </xf>
    <xf numFmtId="0" fontId="46" fillId="36" borderId="97" xfId="0" applyFont="1" applyFill="1" applyBorder="1" applyAlignment="1">
      <alignment horizontal="center" vertical="center"/>
    </xf>
    <xf numFmtId="0" fontId="46" fillId="36" borderId="99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 textRotation="90"/>
    </xf>
    <xf numFmtId="0" fontId="25" fillId="36" borderId="49" xfId="0" applyFont="1" applyFill="1" applyBorder="1" applyAlignment="1">
      <alignment horizontal="center" vertical="center" textRotation="90"/>
    </xf>
    <xf numFmtId="49" fontId="25" fillId="36" borderId="104" xfId="0" applyNumberFormat="1" applyFont="1" applyFill="1" applyBorder="1" applyAlignment="1">
      <alignment horizontal="center" vertical="center" textRotation="90"/>
    </xf>
    <xf numFmtId="49" fontId="25" fillId="36" borderId="41" xfId="0" applyNumberFormat="1" applyFont="1" applyFill="1" applyBorder="1" applyAlignment="1">
      <alignment horizontal="center" vertical="center" textRotation="90"/>
    </xf>
    <xf numFmtId="0" fontId="27" fillId="35" borderId="38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65" fillId="0" borderId="128" xfId="0" applyFont="1" applyBorder="1" applyAlignment="1">
      <alignment horizontal="left" vertical="center" wrapText="1"/>
    </xf>
    <xf numFmtId="0" fontId="65" fillId="0" borderId="129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49" borderId="38" xfId="0" applyFont="1" applyFill="1" applyBorder="1" applyAlignment="1">
      <alignment horizontal="left" vertical="center"/>
    </xf>
    <xf numFmtId="0" fontId="65" fillId="49" borderId="14" xfId="0" applyFont="1" applyFill="1" applyBorder="1" applyAlignment="1">
      <alignment horizontal="left" vertical="center"/>
    </xf>
    <xf numFmtId="0" fontId="65" fillId="49" borderId="128" xfId="0" applyFont="1" applyFill="1" applyBorder="1" applyAlignment="1">
      <alignment horizontal="left" vertical="center"/>
    </xf>
    <xf numFmtId="0" fontId="65" fillId="49" borderId="129" xfId="0" applyFont="1" applyFill="1" applyBorder="1" applyAlignment="1">
      <alignment horizontal="left" vertical="center"/>
    </xf>
    <xf numFmtId="0" fontId="89" fillId="0" borderId="128" xfId="0" applyFont="1" applyBorder="1" applyAlignment="1">
      <alignment horizontal="left" vertical="center" wrapText="1"/>
    </xf>
    <xf numFmtId="0" fontId="89" fillId="0" borderId="129" xfId="0" applyFont="1" applyBorder="1" applyAlignment="1">
      <alignment horizontal="left" vertical="center" wrapText="1"/>
    </xf>
    <xf numFmtId="0" fontId="89" fillId="0" borderId="38" xfId="0" applyFont="1" applyBorder="1" applyAlignment="1">
      <alignment horizontal="left" vertical="center"/>
    </xf>
    <xf numFmtId="0" fontId="89" fillId="0" borderId="14" xfId="0" applyFont="1" applyBorder="1" applyAlignment="1">
      <alignment horizontal="left" vertical="center"/>
    </xf>
    <xf numFmtId="0" fontId="65" fillId="0" borderId="83" xfId="0" applyFont="1" applyBorder="1" applyAlignment="1">
      <alignment horizontal="left" vertical="center" wrapText="1"/>
    </xf>
    <xf numFmtId="0" fontId="65" fillId="0" borderId="93" xfId="0" applyFont="1" applyBorder="1" applyAlignment="1">
      <alignment horizontal="left" vertical="center" wrapText="1"/>
    </xf>
    <xf numFmtId="0" fontId="65" fillId="49" borderId="124" xfId="0" applyFont="1" applyFill="1" applyBorder="1" applyAlignment="1">
      <alignment horizontal="left" vertical="center" wrapText="1"/>
    </xf>
    <xf numFmtId="0" fontId="65" fillId="49" borderId="35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5" fillId="49" borderId="83" xfId="0" applyFont="1" applyFill="1" applyBorder="1" applyAlignment="1">
      <alignment horizontal="left" vertical="center" wrapText="1"/>
    </xf>
    <xf numFmtId="0" fontId="65" fillId="49" borderId="93" xfId="0" applyFont="1" applyFill="1" applyBorder="1" applyAlignment="1">
      <alignment horizontal="left" vertical="center" wrapText="1"/>
    </xf>
    <xf numFmtId="0" fontId="65" fillId="49" borderId="60" xfId="0" applyFont="1" applyFill="1" applyBorder="1" applyAlignment="1">
      <alignment horizontal="left" vertical="center" wrapText="1"/>
    </xf>
    <xf numFmtId="0" fontId="65" fillId="49" borderId="130" xfId="0" applyFont="1" applyFill="1" applyBorder="1" applyAlignment="1">
      <alignment horizontal="left" vertical="center" wrapText="1"/>
    </xf>
    <xf numFmtId="0" fontId="65" fillId="49" borderId="128" xfId="0" applyFont="1" applyFill="1" applyBorder="1" applyAlignment="1">
      <alignment horizontal="left" vertical="center" wrapText="1"/>
    </xf>
    <xf numFmtId="0" fontId="65" fillId="49" borderId="129" xfId="0" applyFont="1" applyFill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94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28" xfId="0" applyFont="1" applyFill="1" applyBorder="1" applyAlignment="1">
      <alignment horizontal="left" vertical="center" wrapText="1"/>
    </xf>
    <xf numFmtId="0" fontId="65" fillId="0" borderId="129" xfId="0" applyFont="1" applyFill="1" applyBorder="1" applyAlignment="1">
      <alignment horizontal="left" vertical="center" wrapText="1"/>
    </xf>
    <xf numFmtId="0" fontId="65" fillId="0" borderId="83" xfId="0" applyFont="1" applyFill="1" applyBorder="1" applyAlignment="1">
      <alignment horizontal="left" vertical="center" wrapText="1"/>
    </xf>
    <xf numFmtId="0" fontId="65" fillId="0" borderId="93" xfId="0" applyFont="1" applyFill="1" applyBorder="1" applyAlignment="1">
      <alignment horizontal="left" vertical="center" wrapText="1"/>
    </xf>
    <xf numFmtId="49" fontId="34" fillId="36" borderId="110" xfId="0" applyNumberFormat="1" applyFont="1" applyFill="1" applyBorder="1" applyAlignment="1">
      <alignment horizontal="left" vertical="center"/>
    </xf>
    <xf numFmtId="0" fontId="35" fillId="36" borderId="16" xfId="0" applyFont="1" applyFill="1" applyBorder="1" applyAlignment="1">
      <alignment vertical="center"/>
    </xf>
    <xf numFmtId="0" fontId="35" fillId="36" borderId="50" xfId="0" applyFont="1" applyFill="1" applyBorder="1" applyAlignment="1">
      <alignment vertical="center"/>
    </xf>
    <xf numFmtId="0" fontId="35" fillId="36" borderId="127" xfId="0" applyFont="1" applyFill="1" applyBorder="1" applyAlignment="1">
      <alignment vertical="center"/>
    </xf>
    <xf numFmtId="0" fontId="35" fillId="36" borderId="98" xfId="0" applyFont="1" applyFill="1" applyBorder="1" applyAlignment="1">
      <alignment vertical="center"/>
    </xf>
    <xf numFmtId="0" fontId="35" fillId="36" borderId="99" xfId="0" applyFont="1" applyFill="1" applyBorder="1" applyAlignment="1">
      <alignment vertical="center"/>
    </xf>
    <xf numFmtId="49" fontId="34" fillId="36" borderId="110" xfId="0" applyNumberFormat="1" applyFont="1" applyFill="1" applyBorder="1" applyAlignment="1">
      <alignment horizontal="center" vertical="center"/>
    </xf>
    <xf numFmtId="49" fontId="34" fillId="36" borderId="16" xfId="0" applyNumberFormat="1" applyFont="1" applyFill="1" applyBorder="1" applyAlignment="1">
      <alignment horizontal="center" vertical="center"/>
    </xf>
    <xf numFmtId="49" fontId="34" fillId="36" borderId="50" xfId="0" applyNumberFormat="1" applyFont="1" applyFill="1" applyBorder="1" applyAlignment="1">
      <alignment horizontal="center" vertical="center"/>
    </xf>
    <xf numFmtId="49" fontId="34" fillId="36" borderId="127" xfId="0" applyNumberFormat="1" applyFont="1" applyFill="1" applyBorder="1" applyAlignment="1">
      <alignment horizontal="center" vertical="center"/>
    </xf>
    <xf numFmtId="49" fontId="34" fillId="36" borderId="98" xfId="0" applyNumberFormat="1" applyFont="1" applyFill="1" applyBorder="1" applyAlignment="1">
      <alignment horizontal="center" vertical="center"/>
    </xf>
    <xf numFmtId="49" fontId="34" fillId="36" borderId="99" xfId="0" applyNumberFormat="1" applyFont="1" applyFill="1" applyBorder="1" applyAlignment="1">
      <alignment horizontal="center" vertical="center"/>
    </xf>
    <xf numFmtId="0" fontId="46" fillId="36" borderId="131" xfId="0" applyFont="1" applyFill="1" applyBorder="1" applyAlignment="1">
      <alignment horizontal="center" vertical="center"/>
    </xf>
    <xf numFmtId="0" fontId="46" fillId="36" borderId="75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 textRotation="90"/>
    </xf>
    <xf numFmtId="0" fontId="28" fillId="36" borderId="90" xfId="0" applyFont="1" applyFill="1" applyBorder="1" applyAlignment="1">
      <alignment horizontal="center" vertical="center" textRotation="90"/>
    </xf>
    <xf numFmtId="49" fontId="28" fillId="36" borderId="104" xfId="0" applyNumberFormat="1" applyFont="1" applyFill="1" applyBorder="1" applyAlignment="1">
      <alignment horizontal="center" vertical="center" textRotation="90"/>
    </xf>
    <xf numFmtId="49" fontId="28" fillId="36" borderId="19" xfId="0" applyNumberFormat="1" applyFont="1" applyFill="1" applyBorder="1" applyAlignment="1">
      <alignment horizontal="center" vertical="center" textRotation="90"/>
    </xf>
    <xf numFmtId="0" fontId="27" fillId="14" borderId="33" xfId="0" applyFont="1" applyFill="1" applyBorder="1" applyAlignment="1">
      <alignment horizontal="center" vertical="center"/>
    </xf>
    <xf numFmtId="0" fontId="27" fillId="14" borderId="65" xfId="0" applyFont="1" applyFill="1" applyBorder="1" applyAlignment="1">
      <alignment horizontal="center" vertical="center"/>
    </xf>
    <xf numFmtId="0" fontId="27" fillId="14" borderId="86" xfId="0" applyFont="1" applyFill="1" applyBorder="1" applyAlignment="1">
      <alignment horizontal="center" vertical="center"/>
    </xf>
    <xf numFmtId="0" fontId="62" fillId="11" borderId="128" xfId="0" applyFont="1" applyFill="1" applyBorder="1" applyAlignment="1">
      <alignment horizontal="center" vertical="center"/>
    </xf>
    <xf numFmtId="0" fontId="62" fillId="11" borderId="132" xfId="0" applyFont="1" applyFill="1" applyBorder="1" applyAlignment="1">
      <alignment horizontal="center" vertical="center"/>
    </xf>
    <xf numFmtId="0" fontId="62" fillId="11" borderId="133" xfId="0" applyFont="1" applyFill="1" applyBorder="1" applyAlignment="1">
      <alignment horizontal="center" vertical="center"/>
    </xf>
    <xf numFmtId="0" fontId="62" fillId="11" borderId="38" xfId="0" applyFont="1" applyFill="1" applyBorder="1" applyAlignment="1">
      <alignment horizontal="center" vertical="center"/>
    </xf>
    <xf numFmtId="0" fontId="62" fillId="11" borderId="13" xfId="0" applyFont="1" applyFill="1" applyBorder="1" applyAlignment="1">
      <alignment horizontal="center" vertical="center"/>
    </xf>
    <xf numFmtId="0" fontId="62" fillId="11" borderId="17" xfId="0" applyFont="1" applyFill="1" applyBorder="1" applyAlignment="1">
      <alignment horizontal="center" vertical="center"/>
    </xf>
    <xf numFmtId="0" fontId="27" fillId="56" borderId="109" xfId="0" applyFont="1" applyFill="1" applyBorder="1" applyAlignment="1">
      <alignment horizontal="center" vertical="center"/>
    </xf>
    <xf numFmtId="0" fontId="27" fillId="56" borderId="107" xfId="0" applyFont="1" applyFill="1" applyBorder="1" applyAlignment="1">
      <alignment horizontal="center" vertical="center"/>
    </xf>
    <xf numFmtId="0" fontId="27" fillId="56" borderId="74" xfId="0" applyFont="1" applyFill="1" applyBorder="1" applyAlignment="1">
      <alignment horizontal="center" vertical="center"/>
    </xf>
    <xf numFmtId="0" fontId="27" fillId="36" borderId="131" xfId="0" applyFont="1" applyFill="1" applyBorder="1" applyAlignment="1">
      <alignment horizontal="center" vertical="center"/>
    </xf>
    <xf numFmtId="0" fontId="27" fillId="36" borderId="75" xfId="0" applyFont="1" applyFill="1" applyBorder="1" applyAlignment="1">
      <alignment horizontal="center" vertical="center"/>
    </xf>
    <xf numFmtId="49" fontId="65" fillId="21" borderId="128" xfId="0" applyNumberFormat="1" applyFont="1" applyFill="1" applyBorder="1" applyAlignment="1">
      <alignment horizontal="center" vertical="center"/>
    </xf>
    <xf numFmtId="49" fontId="65" fillId="21" borderId="132" xfId="0" applyNumberFormat="1" applyFont="1" applyFill="1" applyBorder="1" applyAlignment="1">
      <alignment horizontal="center" vertical="center"/>
    </xf>
    <xf numFmtId="49" fontId="65" fillId="21" borderId="133" xfId="0" applyNumberFormat="1" applyFont="1" applyFill="1" applyBorder="1" applyAlignment="1">
      <alignment horizontal="center" vertical="center"/>
    </xf>
    <xf numFmtId="49" fontId="65" fillId="19" borderId="83" xfId="0" applyNumberFormat="1" applyFont="1" applyFill="1" applyBorder="1" applyAlignment="1">
      <alignment horizontal="center" vertical="center"/>
    </xf>
    <xf numFmtId="49" fontId="65" fillId="19" borderId="66" xfId="0" applyNumberFormat="1" applyFont="1" applyFill="1" applyBorder="1" applyAlignment="1">
      <alignment horizontal="center" vertical="center"/>
    </xf>
    <xf numFmtId="49" fontId="65" fillId="19" borderId="95" xfId="0" applyNumberFormat="1" applyFont="1" applyFill="1" applyBorder="1" applyAlignment="1">
      <alignment horizontal="center" vertical="center"/>
    </xf>
    <xf numFmtId="0" fontId="62" fillId="14" borderId="38" xfId="0" applyFont="1" applyFill="1" applyBorder="1" applyAlignment="1">
      <alignment horizontal="left" vertical="center" wrapText="1"/>
    </xf>
    <xf numFmtId="0" fontId="62" fillId="14" borderId="14" xfId="0" applyFont="1" applyFill="1" applyBorder="1" applyAlignment="1">
      <alignment horizontal="left" vertical="center" wrapText="1"/>
    </xf>
    <xf numFmtId="49" fontId="60" fillId="36" borderId="71" xfId="0" applyNumberFormat="1" applyFont="1" applyFill="1" applyBorder="1" applyAlignment="1">
      <alignment horizontal="left"/>
    </xf>
    <xf numFmtId="49" fontId="60" fillId="36" borderId="22" xfId="0" applyNumberFormat="1" applyFont="1" applyFill="1" applyBorder="1" applyAlignment="1">
      <alignment horizontal="left"/>
    </xf>
    <xf numFmtId="0" fontId="63" fillId="36" borderId="23" xfId="0" applyFont="1" applyFill="1" applyBorder="1" applyAlignment="1">
      <alignment horizontal="center" vertical="center" textRotation="90"/>
    </xf>
    <xf numFmtId="0" fontId="63" fillId="36" borderId="90" xfId="0" applyFont="1" applyFill="1" applyBorder="1" applyAlignment="1">
      <alignment horizontal="center" vertical="center" textRotation="90"/>
    </xf>
    <xf numFmtId="49" fontId="24" fillId="36" borderId="81" xfId="0" applyNumberFormat="1" applyFont="1" applyFill="1" applyBorder="1" applyAlignment="1">
      <alignment horizontal="center" vertical="center"/>
    </xf>
    <xf numFmtId="49" fontId="24" fillId="36" borderId="19" xfId="0" applyNumberFormat="1" applyFont="1" applyFill="1" applyBorder="1" applyAlignment="1">
      <alignment horizontal="center" vertical="center"/>
    </xf>
    <xf numFmtId="0" fontId="23" fillId="36" borderId="82" xfId="0" applyFont="1" applyFill="1" applyBorder="1" applyAlignment="1">
      <alignment horizontal="center" vertical="center"/>
    </xf>
    <xf numFmtId="0" fontId="23" fillId="36" borderId="75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left" vertical="center" wrapText="1"/>
    </xf>
    <xf numFmtId="0" fontId="27" fillId="7" borderId="65" xfId="0" applyFont="1" applyFill="1" applyBorder="1" applyAlignment="1">
      <alignment horizontal="left" vertical="center" wrapText="1"/>
    </xf>
    <xf numFmtId="0" fontId="27" fillId="7" borderId="94" xfId="0" applyFont="1" applyFill="1" applyBorder="1" applyAlignment="1">
      <alignment horizontal="left" vertical="center" wrapText="1"/>
    </xf>
    <xf numFmtId="49" fontId="146" fillId="36" borderId="71" xfId="0" applyNumberFormat="1" applyFont="1" applyFill="1" applyBorder="1" applyAlignment="1">
      <alignment horizontal="left"/>
    </xf>
    <xf numFmtId="49" fontId="146" fillId="36" borderId="22" xfId="0" applyNumberFormat="1" applyFont="1" applyFill="1" applyBorder="1" applyAlignment="1">
      <alignment horizontal="left"/>
    </xf>
    <xf numFmtId="0" fontId="32" fillId="0" borderId="58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47" fillId="21" borderId="38" xfId="0" applyFont="1" applyFill="1" applyBorder="1" applyAlignment="1">
      <alignment horizontal="left" wrapText="1"/>
    </xf>
    <xf numFmtId="0" fontId="147" fillId="21" borderId="14" xfId="0" applyFont="1" applyFill="1" applyBorder="1" applyAlignment="1">
      <alignment horizontal="left" wrapText="1"/>
    </xf>
    <xf numFmtId="0" fontId="32" fillId="0" borderId="3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146" fillId="36" borderId="35" xfId="0" applyNumberFormat="1" applyFont="1" applyFill="1" applyBorder="1" applyAlignment="1">
      <alignment horizontal="left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62" fillId="14" borderId="124" xfId="0" applyFont="1" applyFill="1" applyBorder="1" applyAlignment="1">
      <alignment horizontal="left" vertical="center" wrapText="1"/>
    </xf>
    <xf numFmtId="0" fontId="62" fillId="14" borderId="35" xfId="0" applyFont="1" applyFill="1" applyBorder="1" applyAlignment="1">
      <alignment horizontal="left" vertical="center" wrapText="1"/>
    </xf>
    <xf numFmtId="0" fontId="39" fillId="0" borderId="37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66" fillId="50" borderId="0" xfId="0" applyFont="1" applyFill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30" fillId="36" borderId="124" xfId="0" applyFont="1" applyFill="1" applyBorder="1" applyAlignment="1">
      <alignment horizontal="center"/>
    </xf>
    <xf numFmtId="0" fontId="39" fillId="0" borderId="22" xfId="0" applyFont="1" applyBorder="1" applyAlignment="1">
      <alignment/>
    </xf>
    <xf numFmtId="49" fontId="60" fillId="36" borderId="71" xfId="0" applyNumberFormat="1" applyFont="1" applyFill="1" applyBorder="1" applyAlignment="1">
      <alignment horizontal="left" vertical="center"/>
    </xf>
    <xf numFmtId="49" fontId="60" fillId="36" borderId="22" xfId="0" applyNumberFormat="1" applyFont="1" applyFill="1" applyBorder="1" applyAlignment="1">
      <alignment horizontal="left" vertical="center"/>
    </xf>
    <xf numFmtId="49" fontId="146" fillId="36" borderId="71" xfId="0" applyNumberFormat="1" applyFont="1" applyFill="1" applyBorder="1" applyAlignment="1">
      <alignment horizontal="left" vertical="center"/>
    </xf>
    <xf numFmtId="49" fontId="146" fillId="36" borderId="22" xfId="0" applyNumberFormat="1" applyFont="1" applyFill="1" applyBorder="1" applyAlignment="1">
      <alignment horizontal="left" vertical="center"/>
    </xf>
    <xf numFmtId="49" fontId="146" fillId="36" borderId="35" xfId="0" applyNumberFormat="1" applyFont="1" applyFill="1" applyBorder="1" applyAlignment="1">
      <alignment horizontal="left" vertical="center"/>
    </xf>
    <xf numFmtId="49" fontId="30" fillId="0" borderId="20" xfId="0" applyNumberFormat="1" applyFont="1" applyFill="1" applyBorder="1" applyAlignment="1">
      <alignment horizontal="center" vertical="center" textRotation="90" wrapText="1"/>
    </xf>
    <xf numFmtId="49" fontId="30" fillId="0" borderId="21" xfId="0" applyNumberFormat="1" applyFont="1" applyFill="1" applyBorder="1" applyAlignment="1">
      <alignment horizontal="center" vertical="center" textRotation="90" wrapText="1"/>
    </xf>
    <xf numFmtId="49" fontId="30" fillId="0" borderId="70" xfId="0" applyNumberFormat="1" applyFont="1" applyFill="1" applyBorder="1" applyAlignment="1">
      <alignment horizontal="center" vertical="center" textRotation="90" wrapText="1"/>
    </xf>
    <xf numFmtId="0" fontId="135" fillId="0" borderId="0" xfId="0" applyFont="1" applyFill="1" applyBorder="1" applyAlignment="1">
      <alignment horizontal="left" vertical="center"/>
    </xf>
    <xf numFmtId="49" fontId="65" fillId="0" borderId="124" xfId="0" applyNumberFormat="1" applyFont="1" applyFill="1" applyBorder="1" applyAlignment="1">
      <alignment horizontal="center" vertical="center"/>
    </xf>
    <xf numFmtId="49" fontId="65" fillId="0" borderId="134" xfId="0" applyNumberFormat="1" applyFont="1" applyFill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 textRotation="90"/>
    </xf>
    <xf numFmtId="49" fontId="62" fillId="0" borderId="21" xfId="0" applyNumberFormat="1" applyFont="1" applyFill="1" applyBorder="1" applyAlignment="1">
      <alignment horizontal="center" vertical="center" textRotation="90"/>
    </xf>
    <xf numFmtId="49" fontId="62" fillId="0" borderId="70" xfId="0" applyNumberFormat="1" applyFont="1" applyFill="1" applyBorder="1" applyAlignment="1">
      <alignment horizontal="center" vertical="center" textRotation="90"/>
    </xf>
    <xf numFmtId="49" fontId="26" fillId="0" borderId="20" xfId="0" applyNumberFormat="1" applyFont="1" applyFill="1" applyBorder="1" applyAlignment="1">
      <alignment horizontal="center" vertical="center" textRotation="90" wrapText="1"/>
    </xf>
    <xf numFmtId="49" fontId="26" fillId="0" borderId="21" xfId="0" applyNumberFormat="1" applyFont="1" applyFill="1" applyBorder="1" applyAlignment="1">
      <alignment horizontal="center" vertical="center" textRotation="90" wrapText="1"/>
    </xf>
    <xf numFmtId="49" fontId="26" fillId="0" borderId="70" xfId="0" applyNumberFormat="1" applyFont="1" applyFill="1" applyBorder="1" applyAlignment="1">
      <alignment horizontal="center" vertical="center" textRotation="90" wrapText="1"/>
    </xf>
    <xf numFmtId="49" fontId="26" fillId="0" borderId="20" xfId="0" applyNumberFormat="1" applyFont="1" applyBorder="1" applyAlignment="1">
      <alignment horizontal="center" vertical="center" textRotation="90" wrapText="1"/>
    </xf>
    <xf numFmtId="49" fontId="26" fillId="0" borderId="21" xfId="0" applyNumberFormat="1" applyFont="1" applyBorder="1" applyAlignment="1">
      <alignment horizontal="center" vertical="center" textRotation="90" wrapText="1"/>
    </xf>
    <xf numFmtId="49" fontId="26" fillId="0" borderId="70" xfId="0" applyNumberFormat="1" applyFont="1" applyBorder="1" applyAlignment="1">
      <alignment horizontal="center" vertical="center" textRotation="90" wrapText="1"/>
    </xf>
    <xf numFmtId="49" fontId="65" fillId="0" borderId="38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/>
    </xf>
    <xf numFmtId="0" fontId="39" fillId="0" borderId="64" xfId="0" applyFont="1" applyBorder="1" applyAlignment="1">
      <alignment/>
    </xf>
    <xf numFmtId="0" fontId="39" fillId="0" borderId="96" xfId="0" applyFont="1" applyBorder="1" applyAlignment="1">
      <alignment/>
    </xf>
    <xf numFmtId="0" fontId="23" fillId="36" borderId="58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93" fillId="14" borderId="38" xfId="0" applyFont="1" applyFill="1" applyBorder="1" applyAlignment="1">
      <alignment horizontal="left" vertical="center" wrapText="1"/>
    </xf>
    <xf numFmtId="0" fontId="93" fillId="14" borderId="14" xfId="0" applyFont="1" applyFill="1" applyBorder="1" applyAlignment="1">
      <alignment horizontal="left" vertical="center" wrapText="1"/>
    </xf>
    <xf numFmtId="49" fontId="60" fillId="36" borderId="35" xfId="0" applyNumberFormat="1" applyFont="1" applyFill="1" applyBorder="1" applyAlignment="1">
      <alignment horizontal="left"/>
    </xf>
    <xf numFmtId="49" fontId="148" fillId="36" borderId="71" xfId="0" applyNumberFormat="1" applyFont="1" applyFill="1" applyBorder="1" applyAlignment="1">
      <alignment horizontal="left"/>
    </xf>
    <xf numFmtId="49" fontId="148" fillId="36" borderId="22" xfId="0" applyNumberFormat="1" applyFont="1" applyFill="1" applyBorder="1" applyAlignment="1">
      <alignment horizontal="left"/>
    </xf>
    <xf numFmtId="0" fontId="83" fillId="36" borderId="39" xfId="0" applyFont="1" applyFill="1" applyBorder="1" applyAlignment="1">
      <alignment horizontal="center"/>
    </xf>
    <xf numFmtId="0" fontId="82" fillId="0" borderId="64" xfId="0" applyFont="1" applyBorder="1" applyAlignment="1">
      <alignment/>
    </xf>
    <xf numFmtId="0" fontId="99" fillId="36" borderId="23" xfId="0" applyFont="1" applyFill="1" applyBorder="1" applyAlignment="1">
      <alignment horizontal="center" vertical="center" textRotation="90"/>
    </xf>
    <xf numFmtId="0" fontId="99" fillId="36" borderId="90" xfId="0" applyFont="1" applyFill="1" applyBorder="1" applyAlignment="1">
      <alignment horizontal="center" vertical="center" textRotation="90"/>
    </xf>
    <xf numFmtId="49" fontId="100" fillId="36" borderId="81" xfId="0" applyNumberFormat="1" applyFont="1" applyFill="1" applyBorder="1" applyAlignment="1">
      <alignment horizontal="center" vertical="center"/>
    </xf>
    <xf numFmtId="49" fontId="100" fillId="36" borderId="19" xfId="0" applyNumberFormat="1" applyFont="1" applyFill="1" applyBorder="1" applyAlignment="1">
      <alignment horizontal="center" vertical="center"/>
    </xf>
    <xf numFmtId="0" fontId="101" fillId="36" borderId="82" xfId="0" applyFont="1" applyFill="1" applyBorder="1" applyAlignment="1">
      <alignment horizontal="center" vertical="center"/>
    </xf>
    <xf numFmtId="0" fontId="101" fillId="36" borderId="75" xfId="0" applyFont="1" applyFill="1" applyBorder="1" applyAlignment="1">
      <alignment horizontal="center" vertical="center"/>
    </xf>
    <xf numFmtId="0" fontId="26" fillId="36" borderId="71" xfId="0" applyFont="1" applyFill="1" applyBorder="1" applyAlignment="1">
      <alignment horizontal="center"/>
    </xf>
    <xf numFmtId="0" fontId="32" fillId="0" borderId="22" xfId="0" applyFont="1" applyBorder="1" applyAlignment="1">
      <alignment/>
    </xf>
    <xf numFmtId="0" fontId="26" fillId="36" borderId="124" xfId="0" applyFont="1" applyFill="1" applyBorder="1" applyAlignment="1">
      <alignment horizontal="center"/>
    </xf>
    <xf numFmtId="0" fontId="32" fillId="0" borderId="35" xfId="0" applyFont="1" applyBorder="1" applyAlignment="1">
      <alignment/>
    </xf>
    <xf numFmtId="49" fontId="27" fillId="36" borderId="110" xfId="0" applyNumberFormat="1" applyFont="1" applyFill="1" applyBorder="1" applyAlignment="1">
      <alignment horizontal="center" vertical="center" wrapText="1"/>
    </xf>
    <xf numFmtId="0" fontId="33" fillId="36" borderId="50" xfId="0" applyFont="1" applyFill="1" applyBorder="1" applyAlignment="1">
      <alignment horizontal="center" vertical="center" wrapText="1"/>
    </xf>
    <xf numFmtId="0" fontId="33" fillId="36" borderId="37" xfId="0" applyFont="1" applyFill="1" applyBorder="1" applyAlignment="1">
      <alignment horizontal="center" vertical="center" wrapText="1"/>
    </xf>
    <xf numFmtId="0" fontId="33" fillId="36" borderId="51" xfId="0" applyFont="1" applyFill="1" applyBorder="1" applyAlignment="1">
      <alignment horizontal="center" vertical="center" wrapText="1"/>
    </xf>
    <xf numFmtId="0" fontId="33" fillId="36" borderId="54" xfId="0" applyFont="1" applyFill="1" applyBorder="1" applyAlignment="1">
      <alignment horizontal="center" vertical="center" wrapText="1"/>
    </xf>
    <xf numFmtId="0" fontId="33" fillId="36" borderId="52" xfId="0" applyFont="1" applyFill="1" applyBorder="1" applyAlignment="1">
      <alignment horizontal="center" vertical="center" wrapText="1"/>
    </xf>
    <xf numFmtId="9" fontId="63" fillId="0" borderId="0" xfId="0" applyNumberFormat="1" applyFont="1" applyAlignment="1">
      <alignment vertical="center"/>
    </xf>
    <xf numFmtId="0" fontId="63" fillId="0" borderId="0" xfId="0" applyFont="1" applyFill="1" applyAlignment="1">
      <alignment vertical="center"/>
    </xf>
    <xf numFmtId="4" fontId="63" fillId="0" borderId="48" xfId="0" applyNumberFormat="1" applyFont="1" applyBorder="1" applyAlignment="1">
      <alignment vertical="center"/>
    </xf>
    <xf numFmtId="4" fontId="63" fillId="0" borderId="30" xfId="0" applyNumberFormat="1" applyFont="1" applyBorder="1" applyAlignment="1">
      <alignment vertical="center"/>
    </xf>
    <xf numFmtId="4" fontId="63" fillId="0" borderId="102" xfId="0" applyNumberFormat="1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4" fontId="63" fillId="0" borderId="104" xfId="0" applyNumberFormat="1" applyFont="1" applyBorder="1" applyAlignment="1">
      <alignment horizontal="center" vertical="center"/>
    </xf>
    <xf numFmtId="0" fontId="63" fillId="0" borderId="131" xfId="0" applyFont="1" applyBorder="1" applyAlignment="1">
      <alignment horizontal="center" vertical="center"/>
    </xf>
    <xf numFmtId="0" fontId="63" fillId="0" borderId="104" xfId="0" applyFont="1" applyBorder="1" applyAlignment="1">
      <alignment horizontal="center" vertical="center"/>
    </xf>
    <xf numFmtId="4" fontId="63" fillId="0" borderId="42" xfId="0" applyNumberFormat="1" applyFont="1" applyBorder="1" applyAlignment="1">
      <alignment vertical="center"/>
    </xf>
    <xf numFmtId="4" fontId="63" fillId="0" borderId="25" xfId="0" applyNumberFormat="1" applyFont="1" applyBorder="1" applyAlignment="1">
      <alignment vertical="center"/>
    </xf>
    <xf numFmtId="4" fontId="63" fillId="0" borderId="76" xfId="0" applyNumberFormat="1" applyFont="1" applyBorder="1" applyAlignment="1">
      <alignment vertical="center"/>
    </xf>
    <xf numFmtId="0" fontId="119" fillId="0" borderId="106" xfId="0" applyFont="1" applyBorder="1" applyAlignment="1">
      <alignment horizontal="right" vertical="center"/>
    </xf>
    <xf numFmtId="4" fontId="119" fillId="0" borderId="36" xfId="0" applyNumberFormat="1" applyFont="1" applyBorder="1" applyAlignment="1">
      <alignment vertical="center"/>
    </xf>
    <xf numFmtId="4" fontId="119" fillId="0" borderId="73" xfId="0" applyNumberFormat="1" applyFont="1" applyBorder="1" applyAlignment="1">
      <alignment vertical="center"/>
    </xf>
    <xf numFmtId="4" fontId="119" fillId="0" borderId="80" xfId="0" applyNumberFormat="1" applyFont="1" applyBorder="1" applyAlignment="1">
      <alignment vertical="center"/>
    </xf>
    <xf numFmtId="0" fontId="63" fillId="0" borderId="72" xfId="0" applyFont="1" applyBorder="1" applyAlignment="1">
      <alignment horizontal="right" vertical="center"/>
    </xf>
    <xf numFmtId="0" fontId="63" fillId="0" borderId="34" xfId="0" applyFont="1" applyBorder="1" applyAlignment="1">
      <alignment horizontal="right" vertical="center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ázov" xfId="65"/>
    <cellStyle name="Neutrálna" xfId="66"/>
    <cellStyle name="Percent" xfId="67"/>
    <cellStyle name="Followed Hyperlink" xfId="68"/>
    <cellStyle name="Poznámka" xfId="69"/>
    <cellStyle name="Prepojená bunka" xfId="70"/>
    <cellStyle name="Spolu" xfId="71"/>
    <cellStyle name="Text upozornění" xfId="72"/>
    <cellStyle name="Text upozornenia" xfId="73"/>
    <cellStyle name="Vstup" xfId="74"/>
    <cellStyle name="Výpočet" xfId="75"/>
    <cellStyle name="Výstup" xfId="76"/>
    <cellStyle name="Vysvětlující text" xfId="77"/>
    <cellStyle name="Vysvetľujúci text" xfId="78"/>
    <cellStyle name="Zlá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147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.8515625" style="0" customWidth="1"/>
    <col min="4" max="4" width="3.421875" style="0" customWidth="1"/>
    <col min="5" max="5" width="6.8515625" style="0" customWidth="1"/>
    <col min="6" max="6" width="30.7109375" style="0" customWidth="1"/>
    <col min="7" max="8" width="11.8515625" style="360" bestFit="1" customWidth="1"/>
    <col min="9" max="10" width="11.8515625" style="0" bestFit="1" customWidth="1"/>
    <col min="11" max="12" width="12.28125" style="0" bestFit="1" customWidth="1"/>
    <col min="13" max="13" width="11.8515625" style="0" bestFit="1" customWidth="1"/>
    <col min="14" max="14" width="9.57421875" style="30" customWidth="1"/>
    <col min="15" max="15" width="9.57421875" style="0" customWidth="1"/>
    <col min="16" max="16" width="8.421875" style="0" customWidth="1"/>
    <col min="17" max="17" width="7.57421875" style="0" customWidth="1"/>
    <col min="18" max="18" width="11.00390625" style="0" customWidth="1"/>
    <col min="19" max="19" width="16.7109375" style="0" customWidth="1"/>
    <col min="20" max="20" width="10.8515625" style="0" customWidth="1"/>
    <col min="21" max="21" width="6.7109375" style="0" customWidth="1"/>
    <col min="22" max="22" width="8.421875" style="0" customWidth="1"/>
  </cols>
  <sheetData>
    <row r="1" spans="1:6" ht="18.75" thickBot="1">
      <c r="A1" s="332" t="s">
        <v>523</v>
      </c>
      <c r="B1" s="1"/>
      <c r="C1" s="1"/>
      <c r="D1" s="1"/>
      <c r="E1" s="1"/>
      <c r="F1" s="1"/>
    </row>
    <row r="2" spans="1:18" ht="12.75">
      <c r="A2" s="1375" t="s">
        <v>11</v>
      </c>
      <c r="B2" s="1376"/>
      <c r="C2" s="1376"/>
      <c r="D2" s="1376"/>
      <c r="E2" s="1376"/>
      <c r="F2" s="1377"/>
      <c r="G2" s="361" t="s">
        <v>213</v>
      </c>
      <c r="H2" s="361" t="s">
        <v>213</v>
      </c>
      <c r="I2" s="51" t="s">
        <v>214</v>
      </c>
      <c r="J2" s="78" t="s">
        <v>216</v>
      </c>
      <c r="K2" s="134" t="s">
        <v>12</v>
      </c>
      <c r="L2" s="117" t="s">
        <v>12</v>
      </c>
      <c r="M2" s="117" t="s">
        <v>12</v>
      </c>
      <c r="N2" s="293"/>
      <c r="O2" s="294"/>
      <c r="P2" s="292"/>
      <c r="Q2" s="30"/>
      <c r="R2" s="30"/>
    </row>
    <row r="3" spans="1:13" ht="13.5" thickBot="1">
      <c r="A3" s="1378"/>
      <c r="B3" s="1379"/>
      <c r="C3" s="1379"/>
      <c r="D3" s="1379"/>
      <c r="E3" s="1379"/>
      <c r="F3" s="1380"/>
      <c r="G3" s="362"/>
      <c r="H3" s="362"/>
      <c r="I3" s="52" t="s">
        <v>215</v>
      </c>
      <c r="J3" s="52" t="s">
        <v>217</v>
      </c>
      <c r="K3" s="135"/>
      <c r="L3" s="118" t="s">
        <v>320</v>
      </c>
      <c r="M3" s="118" t="s">
        <v>320</v>
      </c>
    </row>
    <row r="4" spans="1:13" ht="15.75">
      <c r="A4" s="1385" t="s">
        <v>180</v>
      </c>
      <c r="B4" s="1387" t="s">
        <v>13</v>
      </c>
      <c r="C4" s="1387" t="s">
        <v>14</v>
      </c>
      <c r="D4" s="1387" t="s">
        <v>181</v>
      </c>
      <c r="E4" s="1381" t="s">
        <v>129</v>
      </c>
      <c r="F4" s="1382"/>
      <c r="G4" s="363">
        <v>2021</v>
      </c>
      <c r="H4" s="363">
        <v>2022</v>
      </c>
      <c r="I4" s="82" t="s">
        <v>332</v>
      </c>
      <c r="J4" s="82" t="s">
        <v>332</v>
      </c>
      <c r="K4" s="136" t="s">
        <v>368</v>
      </c>
      <c r="L4" s="119" t="s">
        <v>421</v>
      </c>
      <c r="M4" s="119" t="s">
        <v>524</v>
      </c>
    </row>
    <row r="5" spans="1:18" ht="21" customHeight="1" thickBot="1">
      <c r="A5" s="1386"/>
      <c r="B5" s="1388"/>
      <c r="C5" s="1388"/>
      <c r="D5" s="1388"/>
      <c r="E5" s="1383"/>
      <c r="F5" s="1384"/>
      <c r="G5" s="364" t="s">
        <v>207</v>
      </c>
      <c r="H5" s="364" t="s">
        <v>207</v>
      </c>
      <c r="I5" s="53" t="s">
        <v>207</v>
      </c>
      <c r="J5" s="53" t="s">
        <v>207</v>
      </c>
      <c r="K5" s="137" t="s">
        <v>207</v>
      </c>
      <c r="L5" s="120" t="s">
        <v>207</v>
      </c>
      <c r="M5" s="120" t="s">
        <v>207</v>
      </c>
      <c r="R5" s="144"/>
    </row>
    <row r="6" spans="1:18" s="121" customFormat="1" ht="13.5" thickBot="1">
      <c r="A6" s="314">
        <v>1</v>
      </c>
      <c r="B6" s="648" t="s">
        <v>15</v>
      </c>
      <c r="C6" s="1345" t="s">
        <v>16</v>
      </c>
      <c r="D6" s="1346"/>
      <c r="E6" s="1346"/>
      <c r="F6" s="1347"/>
      <c r="G6" s="509">
        <f>G7+G10+G14</f>
        <v>1001829.53</v>
      </c>
      <c r="H6" s="509">
        <f aca="true" t="shared" si="0" ref="H6:M6">H7+H10+H14</f>
        <v>1142233.45</v>
      </c>
      <c r="I6" s="510">
        <f t="shared" si="0"/>
        <v>1080425.22</v>
      </c>
      <c r="J6" s="510">
        <f t="shared" si="0"/>
        <v>1198106.26</v>
      </c>
      <c r="K6" s="510">
        <f t="shared" si="0"/>
        <v>1211190.026</v>
      </c>
      <c r="L6" s="510">
        <f t="shared" si="0"/>
        <v>1253570.026</v>
      </c>
      <c r="M6" s="510">
        <f t="shared" si="0"/>
        <v>1283570.026</v>
      </c>
      <c r="N6" s="224"/>
      <c r="R6" s="170"/>
    </row>
    <row r="7" spans="1:18" s="121" customFormat="1" ht="12.75">
      <c r="A7" s="315">
        <v>2</v>
      </c>
      <c r="B7" s="649" t="s">
        <v>17</v>
      </c>
      <c r="C7" s="1342" t="s">
        <v>18</v>
      </c>
      <c r="D7" s="1343"/>
      <c r="E7" s="1343"/>
      <c r="F7" s="1344"/>
      <c r="G7" s="512">
        <f>G8</f>
        <v>812906.89</v>
      </c>
      <c r="H7" s="512">
        <f>H8</f>
        <v>893444.4</v>
      </c>
      <c r="I7" s="513">
        <f>I8</f>
        <v>853657</v>
      </c>
      <c r="J7" s="513">
        <f>SUM(J8:J9)</f>
        <v>989312.98</v>
      </c>
      <c r="K7" s="513">
        <f>SUM(K8:K9)</f>
        <v>873000</v>
      </c>
      <c r="L7" s="513">
        <f>SUM(L8:L9)</f>
        <v>950000</v>
      </c>
      <c r="M7" s="513">
        <f>SUM(M8:M9)</f>
        <v>980000</v>
      </c>
      <c r="N7" s="224"/>
      <c r="P7" s="178"/>
      <c r="R7" s="170"/>
    </row>
    <row r="8" spans="1:19" s="121" customFormat="1" ht="23.25" customHeight="1">
      <c r="A8" s="315">
        <v>3</v>
      </c>
      <c r="B8" s="650"/>
      <c r="C8" s="651" t="s">
        <v>19</v>
      </c>
      <c r="D8" s="652" t="s">
        <v>20</v>
      </c>
      <c r="E8" s="1356" t="s">
        <v>133</v>
      </c>
      <c r="F8" s="1357"/>
      <c r="G8" s="515">
        <v>812906.89</v>
      </c>
      <c r="H8" s="515">
        <v>893444.4</v>
      </c>
      <c r="I8" s="516">
        <v>853657</v>
      </c>
      <c r="J8" s="516">
        <v>970000</v>
      </c>
      <c r="K8" s="1247">
        <f>970000-(970000*10%)</f>
        <v>873000</v>
      </c>
      <c r="L8" s="1247">
        <v>950000</v>
      </c>
      <c r="M8" s="1247">
        <v>980000</v>
      </c>
      <c r="N8" s="1282" t="s">
        <v>738</v>
      </c>
      <c r="O8" s="185"/>
      <c r="P8" s="185"/>
      <c r="Q8" s="404"/>
      <c r="R8" s="180"/>
      <c r="S8" s="172"/>
    </row>
    <row r="9" spans="1:19" s="121" customFormat="1" ht="20.25" customHeight="1" thickBot="1">
      <c r="A9" s="718">
        <v>44929</v>
      </c>
      <c r="B9" s="650"/>
      <c r="C9" s="651"/>
      <c r="D9" s="652"/>
      <c r="E9" s="1356" t="s">
        <v>618</v>
      </c>
      <c r="F9" s="1357"/>
      <c r="G9" s="515">
        <v>0</v>
      </c>
      <c r="H9" s="515">
        <v>0</v>
      </c>
      <c r="I9" s="516">
        <v>0</v>
      </c>
      <c r="J9" s="516">
        <v>19312.98</v>
      </c>
      <c r="K9" s="517">
        <v>0</v>
      </c>
      <c r="L9" s="516">
        <v>0</v>
      </c>
      <c r="M9" s="516">
        <v>0</v>
      </c>
      <c r="N9" s="296"/>
      <c r="O9" s="169"/>
      <c r="P9" s="185"/>
      <c r="Q9" s="171"/>
      <c r="R9" s="170"/>
      <c r="S9" s="172"/>
    </row>
    <row r="10" spans="1:22" s="121" customFormat="1" ht="13.5" thickBot="1">
      <c r="A10" s="315">
        <v>4</v>
      </c>
      <c r="B10" s="649" t="s">
        <v>21</v>
      </c>
      <c r="C10" s="1389" t="s">
        <v>22</v>
      </c>
      <c r="D10" s="1390"/>
      <c r="E10" s="1390"/>
      <c r="F10" s="1391"/>
      <c r="G10" s="518">
        <f aca="true" t="shared" si="1" ref="G10:M10">G11</f>
        <v>71442.64</v>
      </c>
      <c r="H10" s="518">
        <f t="shared" si="1"/>
        <v>107525.5</v>
      </c>
      <c r="I10" s="519">
        <f t="shared" si="1"/>
        <v>110000</v>
      </c>
      <c r="J10" s="519">
        <f t="shared" si="1"/>
        <v>87000</v>
      </c>
      <c r="K10" s="519">
        <f t="shared" si="1"/>
        <v>187139.80600000004</v>
      </c>
      <c r="L10" s="519">
        <f t="shared" si="1"/>
        <v>169519.80600000004</v>
      </c>
      <c r="M10" s="519">
        <f t="shared" si="1"/>
        <v>169519.80600000004</v>
      </c>
      <c r="N10" s="224"/>
      <c r="P10" s="1549"/>
      <c r="Q10" s="1554" t="s">
        <v>718</v>
      </c>
      <c r="R10" s="1555" t="s">
        <v>722</v>
      </c>
      <c r="S10" s="1556" t="s">
        <v>723</v>
      </c>
      <c r="T10" s="1554" t="s">
        <v>720</v>
      </c>
      <c r="U10" s="1557" t="s">
        <v>721</v>
      </c>
      <c r="V10" s="1556" t="s">
        <v>777</v>
      </c>
    </row>
    <row r="11" spans="1:22" s="121" customFormat="1" ht="13.5" thickBot="1">
      <c r="A11" s="315">
        <v>5</v>
      </c>
      <c r="B11" s="653"/>
      <c r="C11" s="653" t="s">
        <v>23</v>
      </c>
      <c r="D11" s="654"/>
      <c r="E11" s="520" t="s">
        <v>136</v>
      </c>
      <c r="F11" s="521"/>
      <c r="G11" s="522">
        <f>G12+G13</f>
        <v>71442.64</v>
      </c>
      <c r="H11" s="522">
        <f aca="true" t="shared" si="2" ref="H11:M11">H12+H13</f>
        <v>107525.5</v>
      </c>
      <c r="I11" s="517">
        <f>I12+I13</f>
        <v>110000</v>
      </c>
      <c r="J11" s="517">
        <f t="shared" si="2"/>
        <v>87000</v>
      </c>
      <c r="K11" s="517">
        <f t="shared" si="2"/>
        <v>187139.80600000004</v>
      </c>
      <c r="L11" s="517">
        <f t="shared" si="2"/>
        <v>169519.80600000004</v>
      </c>
      <c r="M11" s="517">
        <f t="shared" si="2"/>
        <v>169519.80600000004</v>
      </c>
      <c r="N11" s="224"/>
      <c r="O11" s="162"/>
      <c r="P11" s="1561" t="s">
        <v>719</v>
      </c>
      <c r="Q11" s="1562">
        <v>94177.67</v>
      </c>
      <c r="R11" s="1563">
        <v>17620</v>
      </c>
      <c r="S11" s="1564">
        <f>Q11+R11</f>
        <v>111797.67</v>
      </c>
      <c r="T11" s="1562">
        <f>SUM(T12:T13)</f>
        <v>169519.80583048018</v>
      </c>
      <c r="U11" s="1563">
        <f>SUM(U12:U13)</f>
        <v>17619.999982380003</v>
      </c>
      <c r="V11" s="1564">
        <f>V12+V13</f>
        <v>187139.8058128602</v>
      </c>
    </row>
    <row r="12" spans="1:22" s="121" customFormat="1" ht="24.75" customHeight="1">
      <c r="A12" s="315">
        <v>6</v>
      </c>
      <c r="B12" s="655"/>
      <c r="C12" s="653"/>
      <c r="D12" s="654" t="s">
        <v>24</v>
      </c>
      <c r="E12" s="1354" t="s">
        <v>726</v>
      </c>
      <c r="F12" s="1355"/>
      <c r="G12" s="525">
        <v>46437.72</v>
      </c>
      <c r="H12" s="525">
        <v>69891.58</v>
      </c>
      <c r="I12" s="215">
        <v>71500</v>
      </c>
      <c r="J12" s="526">
        <v>65000</v>
      </c>
      <c r="K12" s="215">
        <f>(57459.8*1.8)+10750.34</f>
        <v>114177.98000000001</v>
      </c>
      <c r="L12" s="215">
        <f>(57459.8*1.8)</f>
        <v>103427.64000000001</v>
      </c>
      <c r="M12" s="215">
        <f>(57459.8*1.8)</f>
        <v>103427.64000000001</v>
      </c>
      <c r="N12" s="1550" t="s">
        <v>778</v>
      </c>
      <c r="O12" s="165"/>
      <c r="P12" s="1565" t="s">
        <v>724</v>
      </c>
      <c r="Q12" s="1558">
        <f>Q11*61.0121273%</f>
        <v>57459.799908573914</v>
      </c>
      <c r="R12" s="1559">
        <f>R11*61.0121273%</f>
        <v>10750.336830260001</v>
      </c>
      <c r="S12" s="1560">
        <f>Q12+R12</f>
        <v>68210.13673883391</v>
      </c>
      <c r="T12" s="1558">
        <f>Q12*1.8</f>
        <v>103427.63983543304</v>
      </c>
      <c r="U12" s="1559">
        <f>R12</f>
        <v>10750.336830260001</v>
      </c>
      <c r="V12" s="1560">
        <f>U12+T12</f>
        <v>114177.97666569304</v>
      </c>
    </row>
    <row r="13" spans="1:22" s="121" customFormat="1" ht="22.5" customHeight="1" thickBot="1">
      <c r="A13" s="315">
        <v>7</v>
      </c>
      <c r="B13" s="655"/>
      <c r="C13" s="653"/>
      <c r="D13" s="654" t="s">
        <v>25</v>
      </c>
      <c r="E13" s="1354" t="s">
        <v>727</v>
      </c>
      <c r="F13" s="1355"/>
      <c r="G13" s="525">
        <v>25004.92</v>
      </c>
      <c r="H13" s="525">
        <v>37633.92</v>
      </c>
      <c r="I13" s="215">
        <v>38500</v>
      </c>
      <c r="J13" s="526">
        <v>22000</v>
      </c>
      <c r="K13" s="215">
        <f>(36717.87*1.8)+6869.66</f>
        <v>72961.82600000002</v>
      </c>
      <c r="L13" s="215">
        <f>(36717.87*1.8)</f>
        <v>66092.16600000001</v>
      </c>
      <c r="M13" s="215">
        <f>(36717.87*1.8)</f>
        <v>66092.16600000001</v>
      </c>
      <c r="N13" s="1550" t="s">
        <v>778</v>
      </c>
      <c r="O13" s="165"/>
      <c r="P13" s="1566" t="s">
        <v>725</v>
      </c>
      <c r="Q13" s="1551">
        <f>Q11*38.9878726%</f>
        <v>36717.86999724842</v>
      </c>
      <c r="R13" s="1552">
        <f>R11*38.9878726%</f>
        <v>6869.66315212</v>
      </c>
      <c r="S13" s="1553">
        <f>Q13+R13</f>
        <v>43587.53314936842</v>
      </c>
      <c r="T13" s="1551">
        <f>Q13*1.8</f>
        <v>66092.16599504715</v>
      </c>
      <c r="U13" s="1552">
        <f>R13</f>
        <v>6869.66315212</v>
      </c>
      <c r="V13" s="1553">
        <f>U13+T13</f>
        <v>72961.82914716715</v>
      </c>
    </row>
    <row r="14" spans="1:18" s="121" customFormat="1" ht="12.75">
      <c r="A14" s="315">
        <v>8</v>
      </c>
      <c r="B14" s="649" t="s">
        <v>26</v>
      </c>
      <c r="C14" s="1389" t="s">
        <v>27</v>
      </c>
      <c r="D14" s="1390"/>
      <c r="E14" s="1390"/>
      <c r="F14" s="1391"/>
      <c r="G14" s="518">
        <f>SUM(G15:G20)</f>
        <v>117480.00000000001</v>
      </c>
      <c r="H14" s="518">
        <f aca="true" t="shared" si="3" ref="H14:M14">SUM(H15:H20)</f>
        <v>141263.55</v>
      </c>
      <c r="I14" s="519">
        <f t="shared" si="3"/>
        <v>116768.22</v>
      </c>
      <c r="J14" s="519">
        <f t="shared" si="3"/>
        <v>121793.27999999998</v>
      </c>
      <c r="K14" s="519">
        <f t="shared" si="3"/>
        <v>151050.22</v>
      </c>
      <c r="L14" s="519">
        <f t="shared" si="3"/>
        <v>134050.22</v>
      </c>
      <c r="M14" s="519">
        <f t="shared" si="3"/>
        <v>134050.22</v>
      </c>
      <c r="N14" s="1550"/>
      <c r="R14" s="170"/>
    </row>
    <row r="15" spans="1:18" s="121" customFormat="1" ht="12.75">
      <c r="A15" s="315">
        <v>9</v>
      </c>
      <c r="B15" s="650"/>
      <c r="C15" s="653" t="s">
        <v>172</v>
      </c>
      <c r="D15" s="654" t="s">
        <v>24</v>
      </c>
      <c r="E15" s="514" t="s">
        <v>583</v>
      </c>
      <c r="F15" s="524"/>
      <c r="G15" s="527">
        <v>2014.14</v>
      </c>
      <c r="H15" s="527">
        <v>1934.8</v>
      </c>
      <c r="I15" s="215">
        <v>2158</v>
      </c>
      <c r="J15" s="526">
        <v>2000</v>
      </c>
      <c r="K15" s="215">
        <v>2600</v>
      </c>
      <c r="L15" s="526">
        <v>2600</v>
      </c>
      <c r="M15" s="526">
        <v>2600</v>
      </c>
      <c r="N15" s="1550"/>
      <c r="O15" s="165"/>
      <c r="P15" s="165"/>
      <c r="R15" s="170"/>
    </row>
    <row r="16" spans="1:18" s="121" customFormat="1" ht="12.75">
      <c r="A16" s="315">
        <v>10</v>
      </c>
      <c r="B16" s="313"/>
      <c r="C16" s="656" t="s">
        <v>172</v>
      </c>
      <c r="D16" s="657" t="s">
        <v>28</v>
      </c>
      <c r="E16" s="468" t="s">
        <v>134</v>
      </c>
      <c r="F16" s="468"/>
      <c r="G16" s="527">
        <v>662.68</v>
      </c>
      <c r="H16" s="527">
        <v>662.62</v>
      </c>
      <c r="I16" s="215">
        <v>300</v>
      </c>
      <c r="J16" s="215">
        <v>740</v>
      </c>
      <c r="K16" s="215">
        <v>740</v>
      </c>
      <c r="L16" s="215">
        <v>740</v>
      </c>
      <c r="M16" s="215">
        <v>740</v>
      </c>
      <c r="N16" s="1550"/>
      <c r="R16" s="173"/>
    </row>
    <row r="17" spans="1:18" s="121" customFormat="1" ht="22.5" customHeight="1">
      <c r="A17" s="315">
        <v>11</v>
      </c>
      <c r="B17" s="313"/>
      <c r="C17" s="656" t="s">
        <v>172</v>
      </c>
      <c r="D17" s="657" t="s">
        <v>29</v>
      </c>
      <c r="E17" s="1354" t="s">
        <v>584</v>
      </c>
      <c r="F17" s="1355"/>
      <c r="G17" s="527">
        <v>70200.74</v>
      </c>
      <c r="H17" s="527">
        <v>79172.37</v>
      </c>
      <c r="I17" s="529">
        <v>80000</v>
      </c>
      <c r="J17" s="215">
        <v>75000</v>
      </c>
      <c r="K17" s="529">
        <f>(82000*1.5)+3000</f>
        <v>126000</v>
      </c>
      <c r="L17" s="529">
        <f>(82000*1.5)+3000</f>
        <v>126000</v>
      </c>
      <c r="M17" s="529">
        <f>(82000*1.5)+3000</f>
        <v>126000</v>
      </c>
      <c r="N17" s="1550" t="s">
        <v>695</v>
      </c>
      <c r="O17" s="162"/>
      <c r="P17" s="162"/>
      <c r="Q17" s="178"/>
      <c r="R17" s="170"/>
    </row>
    <row r="18" spans="1:18" s="121" customFormat="1" ht="12.75">
      <c r="A18" s="315">
        <v>12</v>
      </c>
      <c r="B18" s="658"/>
      <c r="C18" s="659" t="s">
        <v>172</v>
      </c>
      <c r="D18" s="657" t="s">
        <v>29</v>
      </c>
      <c r="E18" s="468" t="s">
        <v>585</v>
      </c>
      <c r="F18" s="468"/>
      <c r="G18" s="530">
        <v>533.76</v>
      </c>
      <c r="H18" s="530">
        <v>463.42</v>
      </c>
      <c r="I18" s="531">
        <v>350</v>
      </c>
      <c r="J18" s="532">
        <v>750</v>
      </c>
      <c r="K18" s="531">
        <v>750</v>
      </c>
      <c r="L18" s="532">
        <v>750</v>
      </c>
      <c r="M18" s="532">
        <v>750</v>
      </c>
      <c r="N18" s="1550"/>
      <c r="O18" s="162"/>
      <c r="P18" s="162"/>
      <c r="Q18" s="178"/>
      <c r="R18" s="170"/>
    </row>
    <row r="19" spans="1:18" s="121" customFormat="1" ht="20.25" customHeight="1">
      <c r="A19" s="316">
        <v>13</v>
      </c>
      <c r="B19" s="658"/>
      <c r="C19" s="659" t="s">
        <v>172</v>
      </c>
      <c r="D19" s="656" t="s">
        <v>317</v>
      </c>
      <c r="E19" s="1354" t="s">
        <v>664</v>
      </c>
      <c r="F19" s="1355"/>
      <c r="G19" s="530">
        <v>39071.3</v>
      </c>
      <c r="H19" s="530">
        <v>54032.96</v>
      </c>
      <c r="I19" s="531">
        <v>30000</v>
      </c>
      <c r="J19" s="532">
        <f>36068.74+1200</f>
        <v>37268.74</v>
      </c>
      <c r="K19" s="532">
        <v>17000</v>
      </c>
      <c r="L19" s="532">
        <v>0</v>
      </c>
      <c r="M19" s="532">
        <v>0</v>
      </c>
      <c r="N19" s="295"/>
      <c r="O19" s="162"/>
      <c r="P19" s="162"/>
      <c r="Q19" s="178"/>
      <c r="R19" s="170"/>
    </row>
    <row r="20" spans="1:19" s="121" customFormat="1" ht="13.5" thickBot="1">
      <c r="A20" s="317">
        <v>14</v>
      </c>
      <c r="B20" s="660"/>
      <c r="C20" s="661" t="s">
        <v>130</v>
      </c>
      <c r="D20" s="662" t="s">
        <v>24</v>
      </c>
      <c r="E20" s="535" t="s">
        <v>135</v>
      </c>
      <c r="F20" s="535"/>
      <c r="G20" s="536">
        <v>4997.38</v>
      </c>
      <c r="H20" s="536">
        <v>4997.38</v>
      </c>
      <c r="I20" s="537">
        <v>3960.22</v>
      </c>
      <c r="J20" s="537">
        <v>6034.54</v>
      </c>
      <c r="K20" s="537">
        <v>3960.22</v>
      </c>
      <c r="L20" s="537">
        <v>3960.22</v>
      </c>
      <c r="M20" s="537">
        <v>3960.22</v>
      </c>
      <c r="N20" s="224"/>
      <c r="R20" s="170"/>
      <c r="S20" s="170"/>
    </row>
    <row r="21" spans="1:18" s="121" customFormat="1" ht="13.5" thickBot="1">
      <c r="A21" s="314">
        <v>15</v>
      </c>
      <c r="B21" s="648" t="s">
        <v>30</v>
      </c>
      <c r="C21" s="1345" t="s">
        <v>31</v>
      </c>
      <c r="D21" s="1346"/>
      <c r="E21" s="1346"/>
      <c r="F21" s="1347"/>
      <c r="G21" s="509">
        <f>G22+G38+G52+G54</f>
        <v>143318.96</v>
      </c>
      <c r="H21" s="509">
        <f aca="true" t="shared" si="4" ref="H21:M21">H22+H38+H52+H54</f>
        <v>168626.16</v>
      </c>
      <c r="I21" s="510">
        <f t="shared" si="4"/>
        <v>136538.6</v>
      </c>
      <c r="J21" s="510">
        <f t="shared" si="4"/>
        <v>164512.58999999997</v>
      </c>
      <c r="K21" s="510">
        <f t="shared" si="4"/>
        <v>168773.02000000002</v>
      </c>
      <c r="L21" s="510">
        <f t="shared" si="4"/>
        <v>150995.32</v>
      </c>
      <c r="M21" s="510">
        <f t="shared" si="4"/>
        <v>150995.32</v>
      </c>
      <c r="N21" s="224"/>
      <c r="R21" s="170"/>
    </row>
    <row r="22" spans="1:18" s="121" customFormat="1" ht="13.5" thickBot="1">
      <c r="A22" s="317">
        <v>16</v>
      </c>
      <c r="B22" s="663" t="s">
        <v>32</v>
      </c>
      <c r="C22" s="1351" t="s">
        <v>33</v>
      </c>
      <c r="D22" s="1352"/>
      <c r="E22" s="1352"/>
      <c r="F22" s="1353"/>
      <c r="G22" s="538">
        <f>G23+G24+G28</f>
        <v>25557.88</v>
      </c>
      <c r="H22" s="538">
        <f aca="true" t="shared" si="5" ref="H22:M22">H23+H24+H28</f>
        <v>32768.34</v>
      </c>
      <c r="I22" s="539">
        <f t="shared" si="5"/>
        <v>26447.68</v>
      </c>
      <c r="J22" s="539">
        <f t="shared" si="5"/>
        <v>27967.02</v>
      </c>
      <c r="K22" s="539">
        <f t="shared" si="5"/>
        <v>46722.020000000004</v>
      </c>
      <c r="L22" s="539">
        <f t="shared" si="5"/>
        <v>28944.32</v>
      </c>
      <c r="M22" s="539">
        <f t="shared" si="5"/>
        <v>28944.32</v>
      </c>
      <c r="N22" s="224"/>
      <c r="R22" s="170"/>
    </row>
    <row r="23" spans="1:14" s="121" customFormat="1" ht="13.5" thickBot="1">
      <c r="A23" s="318">
        <v>17</v>
      </c>
      <c r="B23" s="664" t="s">
        <v>145</v>
      </c>
      <c r="C23" s="664" t="s">
        <v>20</v>
      </c>
      <c r="D23" s="665" t="s">
        <v>6</v>
      </c>
      <c r="E23" s="540" t="s">
        <v>208</v>
      </c>
      <c r="F23" s="541"/>
      <c r="G23" s="542">
        <v>0</v>
      </c>
      <c r="H23" s="542">
        <v>0</v>
      </c>
      <c r="I23" s="543">
        <v>0</v>
      </c>
      <c r="J23" s="543">
        <v>0</v>
      </c>
      <c r="K23" s="543">
        <v>0</v>
      </c>
      <c r="L23" s="543">
        <v>0</v>
      </c>
      <c r="M23" s="543">
        <v>0</v>
      </c>
      <c r="N23" s="224"/>
    </row>
    <row r="24" spans="1:18" s="121" customFormat="1" ht="14.25" thickBot="1" thickTop="1">
      <c r="A24" s="319">
        <v>18</v>
      </c>
      <c r="B24" s="666"/>
      <c r="C24" s="667"/>
      <c r="D24" s="668"/>
      <c r="E24" s="544" t="s">
        <v>137</v>
      </c>
      <c r="F24" s="545"/>
      <c r="G24" s="546">
        <f>G25+G26+G27</f>
        <v>3725.88</v>
      </c>
      <c r="H24" s="546">
        <f aca="true" t="shared" si="6" ref="H24:M24">H25+H26+H27</f>
        <v>6738.32</v>
      </c>
      <c r="I24" s="547">
        <f t="shared" si="6"/>
        <v>1700</v>
      </c>
      <c r="J24" s="547">
        <f t="shared" si="6"/>
        <v>1530</v>
      </c>
      <c r="K24" s="547">
        <f t="shared" si="6"/>
        <v>19530</v>
      </c>
      <c r="L24" s="547">
        <f t="shared" si="6"/>
        <v>1530</v>
      </c>
      <c r="M24" s="547">
        <f t="shared" si="6"/>
        <v>1530</v>
      </c>
      <c r="N24" s="224"/>
      <c r="R24" s="170"/>
    </row>
    <row r="25" spans="1:18" s="121" customFormat="1" ht="20.25" customHeight="1" thickTop="1">
      <c r="A25" s="315">
        <v>19</v>
      </c>
      <c r="B25" s="650"/>
      <c r="C25" s="669" t="s">
        <v>34</v>
      </c>
      <c r="D25" s="654" t="s">
        <v>25</v>
      </c>
      <c r="E25" s="1392" t="s">
        <v>670</v>
      </c>
      <c r="F25" s="1393"/>
      <c r="G25" s="548">
        <v>1530.41</v>
      </c>
      <c r="H25" s="548">
        <v>1527.41</v>
      </c>
      <c r="I25" s="549">
        <v>1700</v>
      </c>
      <c r="J25" s="549">
        <v>1530</v>
      </c>
      <c r="K25" s="549">
        <v>1530</v>
      </c>
      <c r="L25" s="549">
        <v>1530</v>
      </c>
      <c r="M25" s="549">
        <v>1530</v>
      </c>
      <c r="N25" s="224"/>
      <c r="R25" s="170"/>
    </row>
    <row r="26" spans="1:18" s="121" customFormat="1" ht="12.75">
      <c r="A26" s="320">
        <v>20</v>
      </c>
      <c r="B26" s="650"/>
      <c r="C26" s="651" t="s">
        <v>145</v>
      </c>
      <c r="D26" s="654" t="s">
        <v>20</v>
      </c>
      <c r="E26" s="524" t="s">
        <v>671</v>
      </c>
      <c r="F26" s="514"/>
      <c r="G26" s="525">
        <v>2195.47</v>
      </c>
      <c r="H26" s="525">
        <v>5210.91</v>
      </c>
      <c r="I26" s="526">
        <v>0</v>
      </c>
      <c r="J26" s="526">
        <v>0</v>
      </c>
      <c r="K26" s="526">
        <v>0</v>
      </c>
      <c r="L26" s="526">
        <v>0</v>
      </c>
      <c r="M26" s="526">
        <v>0</v>
      </c>
      <c r="N26" s="224"/>
      <c r="R26" s="170"/>
    </row>
    <row r="27" spans="1:14" s="121" customFormat="1" ht="24.75" customHeight="1" thickBot="1">
      <c r="A27" s="321">
        <v>21</v>
      </c>
      <c r="B27" s="670"/>
      <c r="C27" s="671" t="s">
        <v>34</v>
      </c>
      <c r="D27" s="672" t="s">
        <v>25</v>
      </c>
      <c r="E27" s="1412" t="s">
        <v>176</v>
      </c>
      <c r="F27" s="1413"/>
      <c r="G27" s="550">
        <v>0</v>
      </c>
      <c r="H27" s="550">
        <v>0</v>
      </c>
      <c r="I27" s="551">
        <v>0</v>
      </c>
      <c r="J27" s="551">
        <v>0</v>
      </c>
      <c r="K27" s="552">
        <v>18000</v>
      </c>
      <c r="L27" s="551">
        <v>0</v>
      </c>
      <c r="M27" s="551">
        <v>0</v>
      </c>
      <c r="N27" s="224"/>
    </row>
    <row r="28" spans="1:18" s="121" customFormat="1" ht="14.25" thickBot="1" thickTop="1">
      <c r="A28" s="319">
        <v>22</v>
      </c>
      <c r="B28" s="666"/>
      <c r="C28" s="667"/>
      <c r="D28" s="673" t="s">
        <v>20</v>
      </c>
      <c r="E28" s="553" t="s">
        <v>159</v>
      </c>
      <c r="F28" s="554"/>
      <c r="G28" s="546">
        <f>SUM(G29:G37)</f>
        <v>21832</v>
      </c>
      <c r="H28" s="546">
        <f aca="true" t="shared" si="7" ref="H28:M28">SUM(H29:H37)</f>
        <v>26030.02</v>
      </c>
      <c r="I28" s="547">
        <f t="shared" si="7"/>
        <v>24747.68</v>
      </c>
      <c r="J28" s="547">
        <f t="shared" si="7"/>
        <v>26437.02</v>
      </c>
      <c r="K28" s="547">
        <f t="shared" si="7"/>
        <v>27192.02</v>
      </c>
      <c r="L28" s="547">
        <f t="shared" si="7"/>
        <v>27414.32</v>
      </c>
      <c r="M28" s="547">
        <f t="shared" si="7"/>
        <v>27414.32</v>
      </c>
      <c r="N28" s="224"/>
      <c r="R28" s="170"/>
    </row>
    <row r="29" spans="1:18" s="121" customFormat="1" ht="18.75" customHeight="1" thickTop="1">
      <c r="A29" s="315">
        <v>23</v>
      </c>
      <c r="B29" s="650"/>
      <c r="C29" s="669"/>
      <c r="D29" s="674"/>
      <c r="E29" s="1414" t="s">
        <v>158</v>
      </c>
      <c r="F29" s="1415"/>
      <c r="G29" s="525">
        <v>2371.16</v>
      </c>
      <c r="H29" s="525">
        <v>2371.16</v>
      </c>
      <c r="I29" s="526">
        <v>2371.16</v>
      </c>
      <c r="J29" s="526">
        <v>2371.16</v>
      </c>
      <c r="K29" s="526">
        <v>2371.16</v>
      </c>
      <c r="L29" s="526">
        <v>2371.16</v>
      </c>
      <c r="M29" s="526">
        <v>2371.16</v>
      </c>
      <c r="N29" s="224"/>
      <c r="R29" s="170"/>
    </row>
    <row r="30" spans="1:18" s="121" customFormat="1" ht="23.25" customHeight="1">
      <c r="A30" s="320">
        <v>24</v>
      </c>
      <c r="B30" s="650"/>
      <c r="C30" s="669"/>
      <c r="D30" s="674"/>
      <c r="E30" s="1373" t="s">
        <v>424</v>
      </c>
      <c r="F30" s="1374"/>
      <c r="G30" s="525">
        <v>3203.19</v>
      </c>
      <c r="H30" s="525">
        <v>8666.7</v>
      </c>
      <c r="I30" s="215">
        <v>6933.36</v>
      </c>
      <c r="J30" s="526">
        <v>8666.7</v>
      </c>
      <c r="K30" s="215">
        <f>577.7+(800*11)</f>
        <v>9377.7</v>
      </c>
      <c r="L30" s="215">
        <f>800*12</f>
        <v>9600</v>
      </c>
      <c r="M30" s="215">
        <f>800*12</f>
        <v>9600</v>
      </c>
      <c r="N30" s="224"/>
      <c r="R30" s="170"/>
    </row>
    <row r="31" spans="1:18" s="121" customFormat="1" ht="12.75">
      <c r="A31" s="320">
        <v>25</v>
      </c>
      <c r="B31" s="650"/>
      <c r="C31" s="669"/>
      <c r="D31" s="674"/>
      <c r="E31" s="1373" t="s">
        <v>286</v>
      </c>
      <c r="F31" s="1374"/>
      <c r="G31" s="525">
        <v>360</v>
      </c>
      <c r="H31" s="525">
        <v>360</v>
      </c>
      <c r="I31" s="215">
        <f>12*30</f>
        <v>360</v>
      </c>
      <c r="J31" s="526">
        <v>360</v>
      </c>
      <c r="K31" s="215">
        <v>360</v>
      </c>
      <c r="L31" s="215">
        <v>360</v>
      </c>
      <c r="M31" s="215">
        <v>360</v>
      </c>
      <c r="N31" s="224"/>
      <c r="R31" s="170"/>
    </row>
    <row r="32" spans="1:14" s="121" customFormat="1" ht="12.75">
      <c r="A32" s="315">
        <v>26</v>
      </c>
      <c r="B32" s="650"/>
      <c r="C32" s="669"/>
      <c r="D32" s="674"/>
      <c r="E32" s="1373" t="s">
        <v>333</v>
      </c>
      <c r="F32" s="1374"/>
      <c r="G32" s="525">
        <v>2.16</v>
      </c>
      <c r="H32" s="525">
        <v>2.16</v>
      </c>
      <c r="I32" s="526">
        <v>2.16</v>
      </c>
      <c r="J32" s="526">
        <v>2.16</v>
      </c>
      <c r="K32" s="526">
        <v>2.16</v>
      </c>
      <c r="L32" s="526">
        <v>2.16</v>
      </c>
      <c r="M32" s="526">
        <v>2.16</v>
      </c>
      <c r="N32" s="224"/>
    </row>
    <row r="33" spans="1:14" s="121" customFormat="1" ht="24" customHeight="1">
      <c r="A33" s="320">
        <v>27</v>
      </c>
      <c r="B33" s="650"/>
      <c r="C33" s="669"/>
      <c r="D33" s="674"/>
      <c r="E33" s="1373" t="s">
        <v>531</v>
      </c>
      <c r="F33" s="1374"/>
      <c r="G33" s="525">
        <v>0</v>
      </c>
      <c r="H33" s="525">
        <v>0</v>
      </c>
      <c r="I33" s="526">
        <v>50</v>
      </c>
      <c r="J33" s="526">
        <v>10</v>
      </c>
      <c r="K33" s="526">
        <v>50</v>
      </c>
      <c r="L33" s="526">
        <v>50</v>
      </c>
      <c r="M33" s="526">
        <v>50</v>
      </c>
      <c r="N33" s="224"/>
    </row>
    <row r="34" spans="1:14" s="121" customFormat="1" ht="12.75">
      <c r="A34" s="320">
        <v>28</v>
      </c>
      <c r="B34" s="650"/>
      <c r="C34" s="669"/>
      <c r="D34" s="674"/>
      <c r="E34" s="1373" t="s">
        <v>393</v>
      </c>
      <c r="F34" s="1374"/>
      <c r="G34" s="525">
        <v>1000</v>
      </c>
      <c r="H34" s="525">
        <v>0</v>
      </c>
      <c r="I34" s="526">
        <v>0</v>
      </c>
      <c r="J34" s="526">
        <v>0</v>
      </c>
      <c r="K34" s="526">
        <v>0</v>
      </c>
      <c r="L34" s="526">
        <v>0</v>
      </c>
      <c r="M34" s="526">
        <v>0</v>
      </c>
      <c r="N34" s="224"/>
    </row>
    <row r="35" spans="1:18" s="121" customFormat="1" ht="12.75">
      <c r="A35" s="315">
        <v>29</v>
      </c>
      <c r="B35" s="650"/>
      <c r="C35" s="669"/>
      <c r="D35" s="674"/>
      <c r="E35" s="1373" t="s">
        <v>292</v>
      </c>
      <c r="F35" s="1374"/>
      <c r="G35" s="525">
        <v>1</v>
      </c>
      <c r="H35" s="525">
        <v>1</v>
      </c>
      <c r="I35" s="526">
        <v>2</v>
      </c>
      <c r="J35" s="526">
        <v>2</v>
      </c>
      <c r="K35" s="526">
        <v>2</v>
      </c>
      <c r="L35" s="526">
        <v>2</v>
      </c>
      <c r="M35" s="526">
        <v>2</v>
      </c>
      <c r="N35" s="224"/>
      <c r="R35" s="170"/>
    </row>
    <row r="36" spans="1:18" s="121" customFormat="1" ht="12.75">
      <c r="A36" s="315">
        <v>30</v>
      </c>
      <c r="B36" s="650"/>
      <c r="C36" s="669"/>
      <c r="D36" s="674"/>
      <c r="E36" s="1396" t="s">
        <v>295</v>
      </c>
      <c r="F36" s="1397"/>
      <c r="G36" s="525">
        <v>14893.49</v>
      </c>
      <c r="H36" s="525">
        <v>14628</v>
      </c>
      <c r="I36" s="526">
        <v>15024</v>
      </c>
      <c r="J36" s="526">
        <v>15024</v>
      </c>
      <c r="K36" s="526">
        <v>15024</v>
      </c>
      <c r="L36" s="526">
        <v>15024</v>
      </c>
      <c r="M36" s="526">
        <v>15024</v>
      </c>
      <c r="N36" s="224"/>
      <c r="R36" s="170"/>
    </row>
    <row r="37" spans="1:14" s="121" customFormat="1" ht="13.5" thickBot="1">
      <c r="A37" s="322">
        <v>31</v>
      </c>
      <c r="B37" s="675"/>
      <c r="C37" s="675" t="s">
        <v>34</v>
      </c>
      <c r="D37" s="676" t="s">
        <v>38</v>
      </c>
      <c r="E37" s="555" t="s">
        <v>138</v>
      </c>
      <c r="F37" s="556"/>
      <c r="G37" s="557">
        <v>1</v>
      </c>
      <c r="H37" s="557">
        <v>1</v>
      </c>
      <c r="I37" s="531">
        <v>5</v>
      </c>
      <c r="J37" s="531">
        <v>1</v>
      </c>
      <c r="K37" s="531">
        <v>5</v>
      </c>
      <c r="L37" s="531">
        <v>5</v>
      </c>
      <c r="M37" s="531">
        <v>5</v>
      </c>
      <c r="N37" s="224"/>
    </row>
    <row r="38" spans="1:18" s="121" customFormat="1" ht="13.5" thickBot="1">
      <c r="A38" s="314">
        <v>32</v>
      </c>
      <c r="B38" s="677" t="s">
        <v>35</v>
      </c>
      <c r="C38" s="1351" t="s">
        <v>36</v>
      </c>
      <c r="D38" s="1352"/>
      <c r="E38" s="1352"/>
      <c r="F38" s="1353"/>
      <c r="G38" s="558">
        <f>G39+G43</f>
        <v>112702.25</v>
      </c>
      <c r="H38" s="558">
        <f aca="true" t="shared" si="8" ref="H38:M38">H39+H43</f>
        <v>117904.44</v>
      </c>
      <c r="I38" s="559">
        <f t="shared" si="8"/>
        <v>103350</v>
      </c>
      <c r="J38" s="559">
        <f t="shared" si="8"/>
        <v>107859.65</v>
      </c>
      <c r="K38" s="559">
        <f t="shared" si="8"/>
        <v>112150</v>
      </c>
      <c r="L38" s="559">
        <f t="shared" si="8"/>
        <v>112150</v>
      </c>
      <c r="M38" s="559">
        <f t="shared" si="8"/>
        <v>112150</v>
      </c>
      <c r="N38" s="224"/>
      <c r="R38" s="170"/>
    </row>
    <row r="39" spans="1:18" s="121" customFormat="1" ht="13.5" thickBot="1">
      <c r="A39" s="323">
        <v>33</v>
      </c>
      <c r="B39" s="678"/>
      <c r="C39" s="679" t="s">
        <v>37</v>
      </c>
      <c r="D39" s="680" t="s">
        <v>38</v>
      </c>
      <c r="E39" s="560" t="s">
        <v>139</v>
      </c>
      <c r="F39" s="561"/>
      <c r="G39" s="562">
        <f>SUM(G40:G42)</f>
        <v>14539.9</v>
      </c>
      <c r="H39" s="562">
        <f aca="true" t="shared" si="9" ref="H39:M39">SUM(H40:H42)</f>
        <v>11866.68</v>
      </c>
      <c r="I39" s="563">
        <f t="shared" si="9"/>
        <v>12500</v>
      </c>
      <c r="J39" s="563">
        <f t="shared" si="9"/>
        <v>9670</v>
      </c>
      <c r="K39" s="563">
        <f t="shared" si="9"/>
        <v>11300</v>
      </c>
      <c r="L39" s="563">
        <f t="shared" si="9"/>
        <v>11300</v>
      </c>
      <c r="M39" s="563">
        <f t="shared" si="9"/>
        <v>11300</v>
      </c>
      <c r="N39" s="224"/>
      <c r="R39" s="170"/>
    </row>
    <row r="40" spans="1:18" s="121" customFormat="1" ht="13.5" thickTop="1">
      <c r="A40" s="320">
        <v>34</v>
      </c>
      <c r="B40" s="650"/>
      <c r="C40" s="650"/>
      <c r="D40" s="674"/>
      <c r="E40" s="1398" t="s">
        <v>97</v>
      </c>
      <c r="F40" s="1399"/>
      <c r="G40" s="525">
        <v>13926.1</v>
      </c>
      <c r="H40" s="525">
        <v>9591.6</v>
      </c>
      <c r="I40" s="526">
        <v>11500</v>
      </c>
      <c r="J40" s="526">
        <v>8000</v>
      </c>
      <c r="K40" s="526">
        <v>10000</v>
      </c>
      <c r="L40" s="526">
        <v>10000</v>
      </c>
      <c r="M40" s="526">
        <v>10000</v>
      </c>
      <c r="N40" s="224"/>
      <c r="R40" s="170"/>
    </row>
    <row r="41" spans="1:18" s="121" customFormat="1" ht="12.75">
      <c r="A41" s="320">
        <v>35</v>
      </c>
      <c r="B41" s="650"/>
      <c r="C41" s="650"/>
      <c r="D41" s="674"/>
      <c r="E41" s="1396" t="s">
        <v>425</v>
      </c>
      <c r="F41" s="1397"/>
      <c r="G41" s="525">
        <v>0</v>
      </c>
      <c r="H41" s="525">
        <v>1940</v>
      </c>
      <c r="I41" s="526">
        <v>500</v>
      </c>
      <c r="J41" s="526">
        <v>1170</v>
      </c>
      <c r="K41" s="526">
        <v>800</v>
      </c>
      <c r="L41" s="526">
        <v>800</v>
      </c>
      <c r="M41" s="526">
        <v>800</v>
      </c>
      <c r="N41" s="224"/>
      <c r="R41" s="170"/>
    </row>
    <row r="42" spans="1:18" s="121" customFormat="1" ht="20.25" customHeight="1" thickBot="1">
      <c r="A42" s="320">
        <v>36</v>
      </c>
      <c r="B42" s="650"/>
      <c r="C42" s="650"/>
      <c r="D42" s="674"/>
      <c r="E42" s="1412" t="s">
        <v>349</v>
      </c>
      <c r="F42" s="1413"/>
      <c r="G42" s="525">
        <v>613.8</v>
      </c>
      <c r="H42" s="525">
        <v>335.08</v>
      </c>
      <c r="I42" s="526">
        <v>500</v>
      </c>
      <c r="J42" s="215">
        <v>500</v>
      </c>
      <c r="K42" s="526">
        <v>500</v>
      </c>
      <c r="L42" s="526">
        <v>500</v>
      </c>
      <c r="M42" s="526">
        <v>500</v>
      </c>
      <c r="N42" s="224"/>
      <c r="R42" s="170"/>
    </row>
    <row r="43" spans="1:18" s="121" customFormat="1" ht="24.75" customHeight="1" thickBot="1" thickTop="1">
      <c r="A43" s="324">
        <v>37</v>
      </c>
      <c r="B43" s="666"/>
      <c r="C43" s="667" t="s">
        <v>39</v>
      </c>
      <c r="D43" s="673" t="s">
        <v>24</v>
      </c>
      <c r="E43" s="1416" t="s">
        <v>330</v>
      </c>
      <c r="F43" s="1417"/>
      <c r="G43" s="546">
        <f>SUM(G44:G50)</f>
        <v>98162.35</v>
      </c>
      <c r="H43" s="546">
        <f>SUM(H44:H50)</f>
        <v>106037.76</v>
      </c>
      <c r="I43" s="547">
        <f>SUM(I44:I51)</f>
        <v>90850</v>
      </c>
      <c r="J43" s="547">
        <f>SUM(J44:J51)</f>
        <v>98189.65</v>
      </c>
      <c r="K43" s="547">
        <f>SUM(K44:K51)</f>
        <v>100850</v>
      </c>
      <c r="L43" s="547">
        <f>SUM(L44:L51)</f>
        <v>100850</v>
      </c>
      <c r="M43" s="547">
        <f>SUM(M44:M51)</f>
        <v>100850</v>
      </c>
      <c r="N43" s="224"/>
      <c r="R43" s="170"/>
    </row>
    <row r="44" spans="1:14" s="121" customFormat="1" ht="13.5" thickTop="1">
      <c r="A44" s="320">
        <v>38</v>
      </c>
      <c r="B44" s="650"/>
      <c r="C44" s="650"/>
      <c r="D44" s="654"/>
      <c r="E44" s="1400" t="s">
        <v>394</v>
      </c>
      <c r="F44" s="1401"/>
      <c r="G44" s="527">
        <v>1945.94</v>
      </c>
      <c r="H44" s="527">
        <v>874.35</v>
      </c>
      <c r="I44" s="215">
        <v>850</v>
      </c>
      <c r="J44" s="215">
        <v>850</v>
      </c>
      <c r="K44" s="215">
        <v>850</v>
      </c>
      <c r="L44" s="215">
        <v>850</v>
      </c>
      <c r="M44" s="215">
        <v>850</v>
      </c>
      <c r="N44" s="224"/>
    </row>
    <row r="45" spans="1:14" s="121" customFormat="1" ht="12.75">
      <c r="A45" s="320">
        <v>39</v>
      </c>
      <c r="B45" s="650"/>
      <c r="C45" s="650"/>
      <c r="D45" s="654"/>
      <c r="E45" s="1373" t="s">
        <v>667</v>
      </c>
      <c r="F45" s="1374"/>
      <c r="G45" s="527">
        <v>19</v>
      </c>
      <c r="H45" s="527">
        <v>5.7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24"/>
    </row>
    <row r="46" spans="1:14" s="121" customFormat="1" ht="12.75">
      <c r="A46" s="320">
        <v>40</v>
      </c>
      <c r="B46" s="650"/>
      <c r="C46" s="650"/>
      <c r="D46" s="654"/>
      <c r="E46" s="1396" t="s">
        <v>586</v>
      </c>
      <c r="F46" s="1397"/>
      <c r="G46" s="527">
        <v>0</v>
      </c>
      <c r="H46" s="527">
        <v>0</v>
      </c>
      <c r="I46" s="215">
        <v>0</v>
      </c>
      <c r="J46" s="215">
        <v>377</v>
      </c>
      <c r="K46" s="215">
        <v>0</v>
      </c>
      <c r="L46" s="215">
        <v>0</v>
      </c>
      <c r="M46" s="215">
        <v>0</v>
      </c>
      <c r="N46" s="224"/>
    </row>
    <row r="47" spans="1:14" s="121" customFormat="1" ht="12.75">
      <c r="A47" s="320">
        <v>41</v>
      </c>
      <c r="B47" s="681"/>
      <c r="C47" s="681"/>
      <c r="D47" s="682"/>
      <c r="E47" s="1402" t="s">
        <v>300</v>
      </c>
      <c r="F47" s="1403"/>
      <c r="G47" s="527">
        <v>43962</v>
      </c>
      <c r="H47" s="527">
        <v>47957</v>
      </c>
      <c r="I47" s="215">
        <v>47000</v>
      </c>
      <c r="J47" s="215">
        <v>50000</v>
      </c>
      <c r="K47" s="215">
        <v>50000</v>
      </c>
      <c r="L47" s="215">
        <v>50000</v>
      </c>
      <c r="M47" s="215">
        <v>50000</v>
      </c>
      <c r="N47" s="224"/>
    </row>
    <row r="48" spans="1:18" s="121" customFormat="1" ht="12.75">
      <c r="A48" s="315">
        <v>42</v>
      </c>
      <c r="B48" s="681"/>
      <c r="C48" s="683"/>
      <c r="D48" s="682"/>
      <c r="E48" s="1418" t="s">
        <v>672</v>
      </c>
      <c r="F48" s="1419"/>
      <c r="G48" s="525">
        <v>38047.7</v>
      </c>
      <c r="H48" s="525">
        <v>43315.1</v>
      </c>
      <c r="I48" s="526">
        <v>40000</v>
      </c>
      <c r="J48" s="526">
        <v>40000</v>
      </c>
      <c r="K48" s="526">
        <v>50000</v>
      </c>
      <c r="L48" s="526">
        <v>50000</v>
      </c>
      <c r="M48" s="526">
        <v>50000</v>
      </c>
      <c r="N48" s="224"/>
      <c r="R48" s="170"/>
    </row>
    <row r="49" spans="1:18" s="121" customFormat="1" ht="17.25" customHeight="1">
      <c r="A49" s="315">
        <v>43</v>
      </c>
      <c r="B49" s="675"/>
      <c r="C49" s="684"/>
      <c r="D49" s="662"/>
      <c r="E49" s="1394" t="s">
        <v>673</v>
      </c>
      <c r="F49" s="1395"/>
      <c r="G49" s="548">
        <v>10887.71</v>
      </c>
      <c r="H49" s="548">
        <v>11385.61</v>
      </c>
      <c r="I49" s="549">
        <v>3000</v>
      </c>
      <c r="J49" s="549">
        <v>4420</v>
      </c>
      <c r="K49" s="549">
        <v>0</v>
      </c>
      <c r="L49" s="526">
        <v>0</v>
      </c>
      <c r="M49" s="526">
        <v>0</v>
      </c>
      <c r="N49" s="224"/>
      <c r="R49" s="170"/>
    </row>
    <row r="50" spans="1:14" s="121" customFormat="1" ht="12.75">
      <c r="A50" s="315">
        <v>44</v>
      </c>
      <c r="B50" s="681"/>
      <c r="C50" s="685" t="s">
        <v>168</v>
      </c>
      <c r="D50" s="682" t="s">
        <v>20</v>
      </c>
      <c r="E50" s="1373" t="s">
        <v>587</v>
      </c>
      <c r="F50" s="1374"/>
      <c r="G50" s="566">
        <v>3300</v>
      </c>
      <c r="H50" s="566">
        <v>2500</v>
      </c>
      <c r="I50" s="529">
        <v>0</v>
      </c>
      <c r="J50" s="529">
        <v>800</v>
      </c>
      <c r="K50" s="529">
        <v>0</v>
      </c>
      <c r="L50" s="529">
        <v>0</v>
      </c>
      <c r="M50" s="529">
        <v>0</v>
      </c>
      <c r="N50" s="224"/>
    </row>
    <row r="51" spans="1:14" s="121" customFormat="1" ht="13.5" thickBot="1">
      <c r="A51" s="317">
        <v>45</v>
      </c>
      <c r="B51" s="675"/>
      <c r="C51" s="684"/>
      <c r="D51" s="662"/>
      <c r="E51" s="1410" t="s">
        <v>665</v>
      </c>
      <c r="F51" s="1411"/>
      <c r="G51" s="567">
        <v>0</v>
      </c>
      <c r="H51" s="567">
        <v>0</v>
      </c>
      <c r="I51" s="568">
        <v>0</v>
      </c>
      <c r="J51" s="568">
        <v>1742.65</v>
      </c>
      <c r="K51" s="568">
        <v>0</v>
      </c>
      <c r="L51" s="568">
        <v>0</v>
      </c>
      <c r="M51" s="568">
        <v>0</v>
      </c>
      <c r="N51" s="224"/>
    </row>
    <row r="52" spans="1:14" s="121" customFormat="1" ht="13.5" thickBot="1">
      <c r="A52" s="325">
        <v>46</v>
      </c>
      <c r="B52" s="677" t="s">
        <v>40</v>
      </c>
      <c r="C52" s="1351" t="s">
        <v>41</v>
      </c>
      <c r="D52" s="1352"/>
      <c r="E52" s="1352"/>
      <c r="F52" s="1353"/>
      <c r="G52" s="569">
        <f aca="true" t="shared" si="10" ref="G52:M52">G53</f>
        <v>0</v>
      </c>
      <c r="H52" s="569">
        <f t="shared" si="10"/>
        <v>0</v>
      </c>
      <c r="I52" s="570">
        <f t="shared" si="10"/>
        <v>5</v>
      </c>
      <c r="J52" s="570">
        <f t="shared" si="10"/>
        <v>5</v>
      </c>
      <c r="K52" s="570">
        <f t="shared" si="10"/>
        <v>5</v>
      </c>
      <c r="L52" s="570">
        <f t="shared" si="10"/>
        <v>5</v>
      </c>
      <c r="M52" s="570">
        <f t="shared" si="10"/>
        <v>5</v>
      </c>
      <c r="N52" s="224"/>
    </row>
    <row r="53" spans="1:14" s="121" customFormat="1" ht="13.5" thickBot="1">
      <c r="A53" s="317">
        <v>47</v>
      </c>
      <c r="B53" s="675"/>
      <c r="C53" s="686" t="s">
        <v>42</v>
      </c>
      <c r="D53" s="687"/>
      <c r="E53" s="535" t="s">
        <v>43</v>
      </c>
      <c r="F53" s="565"/>
      <c r="G53" s="571">
        <v>0</v>
      </c>
      <c r="H53" s="571">
        <v>0</v>
      </c>
      <c r="I53" s="572">
        <v>5</v>
      </c>
      <c r="J53" s="572">
        <v>5</v>
      </c>
      <c r="K53" s="572">
        <v>5</v>
      </c>
      <c r="L53" s="572">
        <v>5</v>
      </c>
      <c r="M53" s="572">
        <v>5</v>
      </c>
      <c r="N53" s="224"/>
    </row>
    <row r="54" spans="1:18" s="121" customFormat="1" ht="13.5" thickBot="1">
      <c r="A54" s="323">
        <v>48</v>
      </c>
      <c r="B54" s="688" t="s">
        <v>44</v>
      </c>
      <c r="C54" s="1348" t="s">
        <v>45</v>
      </c>
      <c r="D54" s="1349"/>
      <c r="E54" s="1349"/>
      <c r="F54" s="1350"/>
      <c r="G54" s="573">
        <f>G55+G62</f>
        <v>5058.83</v>
      </c>
      <c r="H54" s="573">
        <f aca="true" t="shared" si="11" ref="H54:M54">H55+H62</f>
        <v>17953.379999999997</v>
      </c>
      <c r="I54" s="574">
        <f t="shared" si="11"/>
        <v>6735.92</v>
      </c>
      <c r="J54" s="574">
        <f t="shared" si="11"/>
        <v>28680.92</v>
      </c>
      <c r="K54" s="574">
        <f t="shared" si="11"/>
        <v>9896</v>
      </c>
      <c r="L54" s="574">
        <f t="shared" si="11"/>
        <v>9896</v>
      </c>
      <c r="M54" s="574">
        <f t="shared" si="11"/>
        <v>9896</v>
      </c>
      <c r="N54" s="224"/>
      <c r="R54" s="170"/>
    </row>
    <row r="55" spans="1:18" s="121" customFormat="1" ht="14.25" thickBot="1" thickTop="1">
      <c r="A55" s="387">
        <v>49</v>
      </c>
      <c r="B55" s="689"/>
      <c r="C55" s="690" t="s">
        <v>96</v>
      </c>
      <c r="D55" s="691" t="s">
        <v>38</v>
      </c>
      <c r="E55" s="575" t="s">
        <v>178</v>
      </c>
      <c r="F55" s="576"/>
      <c r="G55" s="577">
        <f>G56+G57+G58+G59+G60</f>
        <v>5015.63</v>
      </c>
      <c r="H55" s="577">
        <f>H56+H57+H58+H59+H60</f>
        <v>4978.5</v>
      </c>
      <c r="I55" s="578">
        <f>I56+I57+I58+I59+I60</f>
        <v>5685.92</v>
      </c>
      <c r="J55" s="578">
        <f>SUM(J56:J61)</f>
        <v>24830.92</v>
      </c>
      <c r="K55" s="578">
        <f>SUM(K56:K61)</f>
        <v>9896</v>
      </c>
      <c r="L55" s="578">
        <f>SUM(L56:L61)</f>
        <v>9896</v>
      </c>
      <c r="M55" s="578">
        <f>SUM(M56:M61)</f>
        <v>9896</v>
      </c>
      <c r="N55" s="224"/>
      <c r="R55" s="170"/>
    </row>
    <row r="56" spans="1:14" s="121" customFormat="1" ht="13.5" thickTop="1">
      <c r="A56" s="385">
        <v>50</v>
      </c>
      <c r="B56" s="692"/>
      <c r="C56" s="693"/>
      <c r="D56" s="693"/>
      <c r="E56" s="719" t="s">
        <v>674</v>
      </c>
      <c r="F56" s="579"/>
      <c r="G56" s="580">
        <v>396</v>
      </c>
      <c r="H56" s="580">
        <v>396</v>
      </c>
      <c r="I56" s="581">
        <f>12*33</f>
        <v>396</v>
      </c>
      <c r="J56" s="581">
        <v>396</v>
      </c>
      <c r="K56" s="581">
        <v>396</v>
      </c>
      <c r="L56" s="581">
        <v>396</v>
      </c>
      <c r="M56" s="581">
        <v>396</v>
      </c>
      <c r="N56" s="224"/>
    </row>
    <row r="57" spans="1:14" s="121" customFormat="1" ht="22.5" customHeight="1">
      <c r="A57" s="384">
        <v>51</v>
      </c>
      <c r="B57" s="694"/>
      <c r="C57" s="656"/>
      <c r="D57" s="656"/>
      <c r="E57" s="1354" t="s">
        <v>675</v>
      </c>
      <c r="F57" s="1355"/>
      <c r="G57" s="527">
        <v>1211</v>
      </c>
      <c r="H57" s="527">
        <v>1211</v>
      </c>
      <c r="I57" s="215">
        <f>(12*50)*2</f>
        <v>1200</v>
      </c>
      <c r="J57" s="215">
        <v>1200</v>
      </c>
      <c r="K57" s="215">
        <v>1200</v>
      </c>
      <c r="L57" s="215">
        <v>1200</v>
      </c>
      <c r="M57" s="215">
        <v>1200</v>
      </c>
      <c r="N57" s="224"/>
    </row>
    <row r="58" spans="1:18" s="121" customFormat="1" ht="21.75" customHeight="1">
      <c r="A58" s="384">
        <v>52</v>
      </c>
      <c r="B58" s="695"/>
      <c r="C58" s="652"/>
      <c r="D58" s="654"/>
      <c r="E58" s="1394" t="s">
        <v>676</v>
      </c>
      <c r="F58" s="1395"/>
      <c r="G58" s="525">
        <v>2389.92</v>
      </c>
      <c r="H58" s="525">
        <v>2389.92</v>
      </c>
      <c r="I58" s="526">
        <f>12*199.16</f>
        <v>2389.92</v>
      </c>
      <c r="J58" s="526">
        <v>2389.92</v>
      </c>
      <c r="K58" s="526">
        <f>500*12</f>
        <v>6000</v>
      </c>
      <c r="L58" s="526">
        <v>6000</v>
      </c>
      <c r="M58" s="526">
        <v>6000</v>
      </c>
      <c r="N58" s="224"/>
      <c r="R58" s="170"/>
    </row>
    <row r="59" spans="1:18" s="121" customFormat="1" ht="22.5" customHeight="1">
      <c r="A59" s="385">
        <v>53</v>
      </c>
      <c r="B59" s="695"/>
      <c r="C59" s="652"/>
      <c r="D59" s="654"/>
      <c r="E59" s="1394" t="s">
        <v>677</v>
      </c>
      <c r="F59" s="1395"/>
      <c r="G59" s="525">
        <v>630</v>
      </c>
      <c r="H59" s="525">
        <v>300</v>
      </c>
      <c r="I59" s="526">
        <v>1200</v>
      </c>
      <c r="J59" s="526">
        <v>1200</v>
      </c>
      <c r="K59" s="526">
        <f>150*12</f>
        <v>1800</v>
      </c>
      <c r="L59" s="526">
        <f>150*12</f>
        <v>1800</v>
      </c>
      <c r="M59" s="526">
        <f>150*12</f>
        <v>1800</v>
      </c>
      <c r="N59" s="224"/>
      <c r="R59" s="170"/>
    </row>
    <row r="60" spans="1:14" s="121" customFormat="1" ht="12.75">
      <c r="A60" s="384">
        <v>54</v>
      </c>
      <c r="B60" s="695"/>
      <c r="C60" s="652"/>
      <c r="D60" s="654"/>
      <c r="E60" s="1394" t="s">
        <v>678</v>
      </c>
      <c r="F60" s="1395"/>
      <c r="G60" s="525">
        <v>388.71</v>
      </c>
      <c r="H60" s="525">
        <v>681.58</v>
      </c>
      <c r="I60" s="526">
        <v>500</v>
      </c>
      <c r="J60" s="526">
        <v>1575</v>
      </c>
      <c r="K60" s="526">
        <v>500</v>
      </c>
      <c r="L60" s="526">
        <v>500</v>
      </c>
      <c r="M60" s="526">
        <v>500</v>
      </c>
      <c r="N60" s="224"/>
    </row>
    <row r="61" spans="1:14" s="121" customFormat="1" ht="25.5" customHeight="1" thickBot="1">
      <c r="A61" s="386">
        <v>55</v>
      </c>
      <c r="B61" s="696"/>
      <c r="C61" s="697" t="s">
        <v>46</v>
      </c>
      <c r="D61" s="698" t="s">
        <v>28</v>
      </c>
      <c r="E61" s="1404" t="s">
        <v>679</v>
      </c>
      <c r="F61" s="1405"/>
      <c r="G61" s="582">
        <v>0</v>
      </c>
      <c r="H61" s="582">
        <v>0</v>
      </c>
      <c r="I61" s="583">
        <v>0</v>
      </c>
      <c r="J61" s="583">
        <v>18070</v>
      </c>
      <c r="K61" s="583">
        <v>0</v>
      </c>
      <c r="L61" s="583">
        <v>0</v>
      </c>
      <c r="M61" s="583">
        <v>0</v>
      </c>
      <c r="N61" s="224"/>
    </row>
    <row r="62" spans="1:18" s="121" customFormat="1" ht="24.75" thickBot="1">
      <c r="A62" s="317">
        <v>56</v>
      </c>
      <c r="B62" s="699"/>
      <c r="C62" s="700" t="s">
        <v>46</v>
      </c>
      <c r="D62" s="701" t="s">
        <v>501</v>
      </c>
      <c r="E62" s="584" t="s">
        <v>668</v>
      </c>
      <c r="F62" s="645" t="s">
        <v>680</v>
      </c>
      <c r="G62" s="586">
        <v>43.2</v>
      </c>
      <c r="H62" s="586">
        <v>12974.88</v>
      </c>
      <c r="I62" s="587">
        <v>1050</v>
      </c>
      <c r="J62" s="587">
        <v>3850</v>
      </c>
      <c r="K62" s="587">
        <v>0</v>
      </c>
      <c r="L62" s="587">
        <v>0</v>
      </c>
      <c r="M62" s="587">
        <v>0</v>
      </c>
      <c r="N62" s="224"/>
      <c r="R62" s="170"/>
    </row>
    <row r="63" spans="1:18" s="121" customFormat="1" ht="13.5" thickBot="1">
      <c r="A63" s="325">
        <v>57</v>
      </c>
      <c r="B63" s="648" t="s">
        <v>50</v>
      </c>
      <c r="C63" s="1345" t="s">
        <v>51</v>
      </c>
      <c r="D63" s="1346"/>
      <c r="E63" s="1346"/>
      <c r="F63" s="1347"/>
      <c r="G63" s="509">
        <f>G64+G94</f>
        <v>640543.0099999999</v>
      </c>
      <c r="H63" s="509">
        <f aca="true" t="shared" si="12" ref="H63:M63">H64+H94</f>
        <v>570995.8000000002</v>
      </c>
      <c r="I63" s="510">
        <f t="shared" si="12"/>
        <v>558398</v>
      </c>
      <c r="J63" s="510">
        <f t="shared" si="12"/>
        <v>734320.0200000001</v>
      </c>
      <c r="K63" s="510">
        <f t="shared" si="12"/>
        <v>608918.3500000001</v>
      </c>
      <c r="L63" s="510">
        <f t="shared" si="12"/>
        <v>624739.3500000001</v>
      </c>
      <c r="M63" s="510">
        <f t="shared" si="12"/>
        <v>652722.3500000001</v>
      </c>
      <c r="N63" s="224"/>
      <c r="R63" s="170"/>
    </row>
    <row r="64" spans="1:18" s="121" customFormat="1" ht="13.5" thickBot="1">
      <c r="A64" s="314">
        <v>58</v>
      </c>
      <c r="B64" s="677" t="s">
        <v>52</v>
      </c>
      <c r="C64" s="1351" t="s">
        <v>53</v>
      </c>
      <c r="D64" s="1352"/>
      <c r="E64" s="1352"/>
      <c r="F64" s="1353"/>
      <c r="G64" s="558">
        <f aca="true" t="shared" si="13" ref="G64:M64">G65</f>
        <v>631543.0099999999</v>
      </c>
      <c r="H64" s="558">
        <f t="shared" si="13"/>
        <v>561995.8000000002</v>
      </c>
      <c r="I64" s="559">
        <f t="shared" si="13"/>
        <v>555398</v>
      </c>
      <c r="J64" s="559">
        <f t="shared" si="13"/>
        <v>710120.0200000001</v>
      </c>
      <c r="K64" s="559">
        <f t="shared" si="13"/>
        <v>605918.3500000001</v>
      </c>
      <c r="L64" s="559">
        <f t="shared" si="13"/>
        <v>621739.3500000001</v>
      </c>
      <c r="M64" s="559">
        <f t="shared" si="13"/>
        <v>649722.3500000001</v>
      </c>
      <c r="N64" s="224"/>
      <c r="R64" s="170"/>
    </row>
    <row r="65" spans="1:18" s="121" customFormat="1" ht="13.5" thickBot="1">
      <c r="A65" s="323">
        <v>59</v>
      </c>
      <c r="B65" s="678"/>
      <c r="C65" s="702" t="s">
        <v>530</v>
      </c>
      <c r="D65" s="703"/>
      <c r="E65" s="588" t="s">
        <v>54</v>
      </c>
      <c r="F65" s="588"/>
      <c r="G65" s="589">
        <f>SUM(G66:G93)</f>
        <v>631543.0099999999</v>
      </c>
      <c r="H65" s="589">
        <f aca="true" t="shared" si="14" ref="H65:M65">SUM(H66:H93)</f>
        <v>561995.8000000002</v>
      </c>
      <c r="I65" s="590">
        <f t="shared" si="14"/>
        <v>555398</v>
      </c>
      <c r="J65" s="590">
        <f t="shared" si="14"/>
        <v>710120.0200000001</v>
      </c>
      <c r="K65" s="590">
        <f t="shared" si="14"/>
        <v>605918.3500000001</v>
      </c>
      <c r="L65" s="590">
        <f t="shared" si="14"/>
        <v>621739.3500000001</v>
      </c>
      <c r="M65" s="590">
        <f t="shared" si="14"/>
        <v>649722.3500000001</v>
      </c>
      <c r="N65" s="224"/>
      <c r="R65" s="170"/>
    </row>
    <row r="66" spans="1:18" s="121" customFormat="1" ht="13.5" thickTop="1">
      <c r="A66" s="315">
        <v>60</v>
      </c>
      <c r="B66" s="650"/>
      <c r="C66" s="704"/>
      <c r="D66" s="704" t="s">
        <v>24</v>
      </c>
      <c r="E66" s="1420" t="s">
        <v>532</v>
      </c>
      <c r="F66" s="1421"/>
      <c r="G66" s="580">
        <v>488774</v>
      </c>
      <c r="H66" s="580">
        <v>473012</v>
      </c>
      <c r="I66" s="581">
        <v>503805</v>
      </c>
      <c r="J66" s="581">
        <v>524289</v>
      </c>
      <c r="K66" s="581">
        <f>333530+116575+83013</f>
        <v>533118</v>
      </c>
      <c r="L66" s="581">
        <f>350210+122404+87166</f>
        <v>559780</v>
      </c>
      <c r="M66" s="581">
        <f>367720+128525+91518</f>
        <v>587763</v>
      </c>
      <c r="N66" s="224"/>
      <c r="R66" s="170"/>
    </row>
    <row r="67" spans="1:18" s="121" customFormat="1" ht="12.75">
      <c r="A67" s="315">
        <v>61</v>
      </c>
      <c r="B67" s="650"/>
      <c r="C67" s="704"/>
      <c r="D67" s="704" t="s">
        <v>24</v>
      </c>
      <c r="E67" s="1354" t="s">
        <v>533</v>
      </c>
      <c r="F67" s="1355"/>
      <c r="G67" s="580">
        <v>0</v>
      </c>
      <c r="H67" s="580">
        <v>3595</v>
      </c>
      <c r="I67" s="581">
        <v>0</v>
      </c>
      <c r="J67" s="581">
        <v>0</v>
      </c>
      <c r="K67" s="581">
        <v>0</v>
      </c>
      <c r="L67" s="581">
        <v>0</v>
      </c>
      <c r="M67" s="581">
        <v>0</v>
      </c>
      <c r="N67" s="224"/>
      <c r="R67" s="170"/>
    </row>
    <row r="68" spans="1:18" s="121" customFormat="1" ht="12.75">
      <c r="A68" s="315">
        <v>62</v>
      </c>
      <c r="B68" s="650"/>
      <c r="C68" s="704"/>
      <c r="D68" s="704" t="s">
        <v>24</v>
      </c>
      <c r="E68" s="1408" t="s">
        <v>534</v>
      </c>
      <c r="F68" s="1409"/>
      <c r="G68" s="580">
        <v>3820</v>
      </c>
      <c r="H68" s="580">
        <v>7412</v>
      </c>
      <c r="I68" s="581">
        <v>0</v>
      </c>
      <c r="J68" s="581">
        <v>8066</v>
      </c>
      <c r="K68" s="581">
        <v>0</v>
      </c>
      <c r="L68" s="581">
        <v>0</v>
      </c>
      <c r="M68" s="581">
        <v>0</v>
      </c>
      <c r="N68" s="224"/>
      <c r="R68" s="170"/>
    </row>
    <row r="69" spans="1:18" s="121" customFormat="1" ht="12.75">
      <c r="A69" s="315">
        <v>63</v>
      </c>
      <c r="B69" s="650"/>
      <c r="C69" s="704"/>
      <c r="D69" s="704" t="s">
        <v>24</v>
      </c>
      <c r="E69" s="1408" t="s">
        <v>528</v>
      </c>
      <c r="F69" s="1409"/>
      <c r="G69" s="580"/>
      <c r="H69" s="580">
        <v>3141</v>
      </c>
      <c r="I69" s="581">
        <v>13823</v>
      </c>
      <c r="J69" s="581">
        <v>14376</v>
      </c>
      <c r="K69" s="581">
        <v>13823</v>
      </c>
      <c r="L69" s="581">
        <v>13823</v>
      </c>
      <c r="M69" s="581">
        <v>13823</v>
      </c>
      <c r="N69" s="224"/>
      <c r="R69" s="170"/>
    </row>
    <row r="70" spans="1:18" s="121" customFormat="1" ht="12.75">
      <c r="A70" s="315">
        <v>64</v>
      </c>
      <c r="B70" s="650"/>
      <c r="C70" s="704"/>
      <c r="D70" s="704"/>
      <c r="E70" s="1408" t="s">
        <v>541</v>
      </c>
      <c r="F70" s="1409"/>
      <c r="G70" s="580">
        <v>0</v>
      </c>
      <c r="H70" s="580">
        <v>0</v>
      </c>
      <c r="I70" s="581">
        <v>0</v>
      </c>
      <c r="J70" s="581">
        <v>940</v>
      </c>
      <c r="K70" s="581">
        <v>0</v>
      </c>
      <c r="L70" s="581">
        <v>0</v>
      </c>
      <c r="M70" s="581">
        <v>0</v>
      </c>
      <c r="N70" s="224"/>
      <c r="R70" s="170"/>
    </row>
    <row r="71" spans="1:18" s="121" customFormat="1" ht="12.75">
      <c r="A71" s="315">
        <v>65</v>
      </c>
      <c r="B71" s="650"/>
      <c r="C71" s="704"/>
      <c r="D71" s="704" t="s">
        <v>24</v>
      </c>
      <c r="E71" s="1354" t="s">
        <v>426</v>
      </c>
      <c r="F71" s="1355"/>
      <c r="G71" s="527">
        <v>2600</v>
      </c>
      <c r="H71" s="527">
        <v>5791.95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224"/>
      <c r="R71" s="170"/>
    </row>
    <row r="72" spans="1:18" s="121" customFormat="1" ht="12.75">
      <c r="A72" s="315">
        <v>66</v>
      </c>
      <c r="B72" s="650"/>
      <c r="C72" s="704"/>
      <c r="D72" s="704" t="s">
        <v>24</v>
      </c>
      <c r="E72" s="1354" t="s">
        <v>427</v>
      </c>
      <c r="F72" s="1355"/>
      <c r="G72" s="527">
        <v>0</v>
      </c>
      <c r="H72" s="527">
        <v>3150</v>
      </c>
      <c r="I72" s="215">
        <v>0</v>
      </c>
      <c r="J72" s="215">
        <v>1200</v>
      </c>
      <c r="K72" s="215">
        <v>0</v>
      </c>
      <c r="L72" s="215">
        <v>0</v>
      </c>
      <c r="M72" s="215">
        <v>0</v>
      </c>
      <c r="N72" s="224"/>
      <c r="R72" s="170"/>
    </row>
    <row r="73" spans="1:18" s="121" customFormat="1" ht="12.75">
      <c r="A73" s="315">
        <v>67</v>
      </c>
      <c r="B73" s="650"/>
      <c r="C73" s="704"/>
      <c r="D73" s="704" t="s">
        <v>24</v>
      </c>
      <c r="E73" s="1354" t="s">
        <v>428</v>
      </c>
      <c r="F73" s="1355"/>
      <c r="G73" s="527">
        <v>0</v>
      </c>
      <c r="H73" s="527">
        <v>4000</v>
      </c>
      <c r="I73" s="215">
        <v>0</v>
      </c>
      <c r="J73" s="215">
        <v>3600</v>
      </c>
      <c r="K73" s="215">
        <v>0</v>
      </c>
      <c r="L73" s="215">
        <v>0</v>
      </c>
      <c r="M73" s="215">
        <v>0</v>
      </c>
      <c r="N73" s="224"/>
      <c r="R73" s="170"/>
    </row>
    <row r="74" spans="1:18" s="121" customFormat="1" ht="25.5" customHeight="1">
      <c r="A74" s="315">
        <v>68</v>
      </c>
      <c r="B74" s="650"/>
      <c r="C74" s="704"/>
      <c r="D74" s="704"/>
      <c r="E74" s="1354" t="s">
        <v>542</v>
      </c>
      <c r="F74" s="1355"/>
      <c r="G74" s="527">
        <v>0</v>
      </c>
      <c r="H74" s="527">
        <v>0</v>
      </c>
      <c r="I74" s="215">
        <v>0</v>
      </c>
      <c r="J74" s="215">
        <v>8829</v>
      </c>
      <c r="K74" s="215">
        <v>0</v>
      </c>
      <c r="L74" s="215">
        <v>0</v>
      </c>
      <c r="M74" s="215">
        <v>0</v>
      </c>
      <c r="N74" s="224"/>
      <c r="R74" s="170"/>
    </row>
    <row r="75" spans="1:14" s="121" customFormat="1" ht="34.5" customHeight="1">
      <c r="A75" s="315">
        <v>69</v>
      </c>
      <c r="B75" s="650"/>
      <c r="C75" s="704"/>
      <c r="D75" s="704" t="s">
        <v>24</v>
      </c>
      <c r="E75" s="1354" t="s">
        <v>535</v>
      </c>
      <c r="F75" s="1355"/>
      <c r="G75" s="527">
        <v>4029</v>
      </c>
      <c r="H75" s="527">
        <v>6639</v>
      </c>
      <c r="I75" s="215">
        <v>4000</v>
      </c>
      <c r="J75" s="215">
        <v>5251</v>
      </c>
      <c r="K75" s="215">
        <v>4700</v>
      </c>
      <c r="L75" s="215">
        <v>4700</v>
      </c>
      <c r="M75" s="215">
        <v>4700</v>
      </c>
      <c r="N75" s="224"/>
    </row>
    <row r="76" spans="1:14" s="121" customFormat="1" ht="12.75">
      <c r="A76" s="315">
        <v>70</v>
      </c>
      <c r="B76" s="650"/>
      <c r="C76" s="704"/>
      <c r="D76" s="704" t="s">
        <v>24</v>
      </c>
      <c r="E76" s="1354" t="s">
        <v>429</v>
      </c>
      <c r="F76" s="1355"/>
      <c r="G76" s="527">
        <v>0</v>
      </c>
      <c r="H76" s="527">
        <v>400</v>
      </c>
      <c r="I76" s="215">
        <v>0</v>
      </c>
      <c r="J76" s="215">
        <v>0</v>
      </c>
      <c r="K76" s="215">
        <v>0</v>
      </c>
      <c r="L76" s="215">
        <v>0</v>
      </c>
      <c r="M76" s="215">
        <v>0</v>
      </c>
      <c r="N76" s="224"/>
    </row>
    <row r="77" spans="1:18" s="121" customFormat="1" ht="12.75">
      <c r="A77" s="320">
        <v>71</v>
      </c>
      <c r="B77" s="650"/>
      <c r="C77" s="704"/>
      <c r="D77" s="704" t="s">
        <v>24</v>
      </c>
      <c r="E77" s="1396" t="s">
        <v>430</v>
      </c>
      <c r="F77" s="1397"/>
      <c r="G77" s="527">
        <v>6214</v>
      </c>
      <c r="H77" s="527">
        <v>6438</v>
      </c>
      <c r="I77" s="215">
        <v>6000</v>
      </c>
      <c r="J77" s="215">
        <v>6688</v>
      </c>
      <c r="K77" s="215">
        <v>6500</v>
      </c>
      <c r="L77" s="215">
        <v>6500</v>
      </c>
      <c r="M77" s="215">
        <v>6500</v>
      </c>
      <c r="N77" s="298"/>
      <c r="R77" s="170"/>
    </row>
    <row r="78" spans="1:18" s="121" customFormat="1" ht="12.75">
      <c r="A78" s="320">
        <v>72</v>
      </c>
      <c r="B78" s="650"/>
      <c r="C78" s="652"/>
      <c r="D78" s="705" t="s">
        <v>24</v>
      </c>
      <c r="E78" s="1396" t="s">
        <v>301</v>
      </c>
      <c r="F78" s="1397"/>
      <c r="G78" s="527">
        <v>2474.2</v>
      </c>
      <c r="H78" s="527">
        <v>3963.39</v>
      </c>
      <c r="I78" s="215">
        <v>4000</v>
      </c>
      <c r="J78" s="215">
        <v>4320.77</v>
      </c>
      <c r="K78" s="215">
        <v>4320.77</v>
      </c>
      <c r="L78" s="215">
        <v>4320.77</v>
      </c>
      <c r="M78" s="215">
        <v>4320.77</v>
      </c>
      <c r="N78" s="298"/>
      <c r="R78" s="170"/>
    </row>
    <row r="79" spans="1:18" s="121" customFormat="1" ht="12.75">
      <c r="A79" s="315">
        <v>73</v>
      </c>
      <c r="B79" s="650"/>
      <c r="C79" s="706"/>
      <c r="D79" s="705" t="s">
        <v>24</v>
      </c>
      <c r="E79" s="1396" t="s">
        <v>302</v>
      </c>
      <c r="F79" s="1397"/>
      <c r="G79" s="527">
        <v>2586.42</v>
      </c>
      <c r="H79" s="527">
        <v>2643.5</v>
      </c>
      <c r="I79" s="215">
        <v>2650</v>
      </c>
      <c r="J79" s="215">
        <v>3209.34</v>
      </c>
      <c r="K79" s="215">
        <v>3209.34</v>
      </c>
      <c r="L79" s="215">
        <v>3209.34</v>
      </c>
      <c r="M79" s="215">
        <v>3209.34</v>
      </c>
      <c r="N79" s="175"/>
      <c r="O79" s="113"/>
      <c r="P79" s="113"/>
      <c r="Q79" s="168"/>
      <c r="R79" s="170"/>
    </row>
    <row r="80" spans="1:17" s="121" customFormat="1" ht="12.75">
      <c r="A80" s="320">
        <v>74</v>
      </c>
      <c r="B80" s="650"/>
      <c r="C80" s="706"/>
      <c r="D80" s="705" t="s">
        <v>24</v>
      </c>
      <c r="E80" s="1396" t="s">
        <v>303</v>
      </c>
      <c r="F80" s="1397"/>
      <c r="G80" s="527">
        <v>195.6</v>
      </c>
      <c r="H80" s="527">
        <v>204.4</v>
      </c>
      <c r="I80" s="215">
        <v>205</v>
      </c>
      <c r="J80" s="215">
        <v>234.15</v>
      </c>
      <c r="K80" s="215">
        <v>234.15</v>
      </c>
      <c r="L80" s="215">
        <v>234.15</v>
      </c>
      <c r="M80" s="215">
        <v>234.15</v>
      </c>
      <c r="N80" s="224"/>
      <c r="Q80" s="168"/>
    </row>
    <row r="81" spans="1:17" s="121" customFormat="1" ht="12.75">
      <c r="A81" s="315">
        <v>75</v>
      </c>
      <c r="B81" s="650"/>
      <c r="C81" s="706"/>
      <c r="D81" s="705" t="s">
        <v>24</v>
      </c>
      <c r="E81" s="1396" t="s">
        <v>304</v>
      </c>
      <c r="F81" s="1397"/>
      <c r="G81" s="527">
        <v>658.68</v>
      </c>
      <c r="H81" s="527">
        <v>673.53</v>
      </c>
      <c r="I81" s="215">
        <v>675</v>
      </c>
      <c r="J81" s="215">
        <v>698.28</v>
      </c>
      <c r="K81" s="215">
        <v>698.28</v>
      </c>
      <c r="L81" s="215">
        <v>698.28</v>
      </c>
      <c r="M81" s="215">
        <v>698.28</v>
      </c>
      <c r="N81" s="298"/>
      <c r="Q81" s="168"/>
    </row>
    <row r="82" spans="1:17" s="121" customFormat="1" ht="12.75">
      <c r="A82" s="315">
        <v>76</v>
      </c>
      <c r="B82" s="650"/>
      <c r="C82" s="706"/>
      <c r="D82" s="705" t="s">
        <v>24</v>
      </c>
      <c r="E82" s="1396" t="s">
        <v>305</v>
      </c>
      <c r="F82" s="1397"/>
      <c r="G82" s="527">
        <v>146</v>
      </c>
      <c r="H82" s="527">
        <v>130</v>
      </c>
      <c r="I82" s="215">
        <v>130</v>
      </c>
      <c r="J82" s="215">
        <v>96.4</v>
      </c>
      <c r="K82" s="215">
        <v>96.4</v>
      </c>
      <c r="L82" s="215">
        <v>96.4</v>
      </c>
      <c r="M82" s="215">
        <v>96.4</v>
      </c>
      <c r="N82" s="224"/>
      <c r="Q82" s="168"/>
    </row>
    <row r="83" spans="1:18" s="121" customFormat="1" ht="12.75">
      <c r="A83" s="320">
        <v>77</v>
      </c>
      <c r="B83" s="650"/>
      <c r="C83" s="706"/>
      <c r="D83" s="705" t="s">
        <v>24</v>
      </c>
      <c r="E83" s="1396" t="s">
        <v>431</v>
      </c>
      <c r="F83" s="1397"/>
      <c r="G83" s="527">
        <v>8753</v>
      </c>
      <c r="H83" s="527">
        <v>17894</v>
      </c>
      <c r="I83" s="215">
        <v>20021</v>
      </c>
      <c r="J83" s="215">
        <v>20229</v>
      </c>
      <c r="K83" s="215">
        <v>28286</v>
      </c>
      <c r="L83" s="215">
        <v>28286</v>
      </c>
      <c r="M83" s="215">
        <v>28286</v>
      </c>
      <c r="N83" s="175"/>
      <c r="O83" s="113"/>
      <c r="P83" s="113"/>
      <c r="Q83" s="168"/>
      <c r="R83" s="170"/>
    </row>
    <row r="84" spans="1:18" s="121" customFormat="1" ht="12.75">
      <c r="A84" s="320">
        <v>78</v>
      </c>
      <c r="B84" s="650"/>
      <c r="C84" s="706"/>
      <c r="D84" s="705" t="s">
        <v>24</v>
      </c>
      <c r="E84" s="1396" t="s">
        <v>372</v>
      </c>
      <c r="F84" s="1397"/>
      <c r="G84" s="527">
        <v>999</v>
      </c>
      <c r="H84" s="527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175"/>
      <c r="O84" s="113"/>
      <c r="P84" s="113"/>
      <c r="Q84" s="168"/>
      <c r="R84" s="170"/>
    </row>
    <row r="85" spans="1:18" s="121" customFormat="1" ht="12.75">
      <c r="A85" s="320">
        <v>79</v>
      </c>
      <c r="B85" s="650"/>
      <c r="C85" s="706"/>
      <c r="D85" s="705"/>
      <c r="E85" s="1396" t="s">
        <v>543</v>
      </c>
      <c r="F85" s="1397"/>
      <c r="G85" s="527">
        <v>0</v>
      </c>
      <c r="H85" s="527">
        <v>0</v>
      </c>
      <c r="I85" s="215">
        <v>0</v>
      </c>
      <c r="J85" s="215">
        <v>403</v>
      </c>
      <c r="K85" s="215">
        <v>0</v>
      </c>
      <c r="L85" s="215">
        <v>0</v>
      </c>
      <c r="M85" s="215">
        <v>0</v>
      </c>
      <c r="N85" s="175"/>
      <c r="O85" s="113"/>
      <c r="P85" s="113"/>
      <c r="Q85" s="168"/>
      <c r="R85" s="170"/>
    </row>
    <row r="86" spans="1:18" s="121" customFormat="1" ht="12.75">
      <c r="A86" s="320">
        <v>80</v>
      </c>
      <c r="B86" s="650"/>
      <c r="C86" s="706"/>
      <c r="D86" s="705" t="s">
        <v>24</v>
      </c>
      <c r="E86" s="1396" t="s">
        <v>526</v>
      </c>
      <c r="F86" s="1397"/>
      <c r="G86" s="527">
        <v>665</v>
      </c>
      <c r="H86" s="527">
        <v>728</v>
      </c>
      <c r="I86" s="215">
        <v>0</v>
      </c>
      <c r="J86" s="215">
        <v>1092</v>
      </c>
      <c r="K86" s="215">
        <v>0</v>
      </c>
      <c r="L86" s="215">
        <v>0</v>
      </c>
      <c r="M86" s="215">
        <v>0</v>
      </c>
      <c r="N86" s="175"/>
      <c r="O86" s="113"/>
      <c r="P86" s="113"/>
      <c r="Q86" s="168"/>
      <c r="R86" s="170"/>
    </row>
    <row r="87" spans="1:17" s="121" customFormat="1" ht="12.75">
      <c r="A87" s="315">
        <v>81</v>
      </c>
      <c r="B87" s="650"/>
      <c r="C87" s="706"/>
      <c r="D87" s="705" t="s">
        <v>24</v>
      </c>
      <c r="E87" s="1396" t="s">
        <v>331</v>
      </c>
      <c r="F87" s="1397"/>
      <c r="G87" s="527">
        <v>86.23</v>
      </c>
      <c r="H87" s="527">
        <v>88.17</v>
      </c>
      <c r="I87" s="215">
        <v>89</v>
      </c>
      <c r="J87" s="215">
        <v>91.41</v>
      </c>
      <c r="K87" s="215">
        <v>91.41</v>
      </c>
      <c r="L87" s="215">
        <v>91.41</v>
      </c>
      <c r="M87" s="215">
        <v>91.41</v>
      </c>
      <c r="N87" s="175"/>
      <c r="O87" s="113"/>
      <c r="P87" s="113"/>
      <c r="Q87" s="168"/>
    </row>
    <row r="88" spans="1:17" s="121" customFormat="1" ht="12.75">
      <c r="A88" s="320">
        <v>82</v>
      </c>
      <c r="B88" s="707"/>
      <c r="C88" s="707"/>
      <c r="D88" s="708" t="s">
        <v>24</v>
      </c>
      <c r="E88" s="1408" t="s">
        <v>536</v>
      </c>
      <c r="F88" s="1409"/>
      <c r="G88" s="530">
        <v>4731.78</v>
      </c>
      <c r="H88" s="530">
        <v>1899.56</v>
      </c>
      <c r="I88" s="532">
        <v>0</v>
      </c>
      <c r="J88" s="532">
        <f>53.25+700+1284.92</f>
        <v>2038.17</v>
      </c>
      <c r="K88" s="532">
        <v>0</v>
      </c>
      <c r="L88" s="532">
        <v>0</v>
      </c>
      <c r="M88" s="532">
        <v>0</v>
      </c>
      <c r="N88" s="224"/>
      <c r="Q88" s="168"/>
    </row>
    <row r="89" spans="1:17" s="121" customFormat="1" ht="12.75">
      <c r="A89" s="326">
        <v>83</v>
      </c>
      <c r="B89" s="709"/>
      <c r="C89" s="709"/>
      <c r="D89" s="313" t="s">
        <v>24</v>
      </c>
      <c r="E89" s="1354" t="s">
        <v>666</v>
      </c>
      <c r="F89" s="1355"/>
      <c r="G89" s="527">
        <v>90365</v>
      </c>
      <c r="H89" s="527">
        <v>0</v>
      </c>
      <c r="I89" s="215">
        <v>0</v>
      </c>
      <c r="J89" s="215">
        <v>0</v>
      </c>
      <c r="K89" s="215">
        <v>0</v>
      </c>
      <c r="L89" s="215">
        <v>0</v>
      </c>
      <c r="M89" s="215">
        <v>0</v>
      </c>
      <c r="N89" s="224"/>
      <c r="Q89" s="168"/>
    </row>
    <row r="90" spans="1:17" s="121" customFormat="1" ht="38.25" customHeight="1">
      <c r="A90" s="327">
        <v>84</v>
      </c>
      <c r="B90" s="707"/>
      <c r="C90" s="707"/>
      <c r="D90" s="658" t="s">
        <v>24</v>
      </c>
      <c r="E90" s="1354" t="s">
        <v>544</v>
      </c>
      <c r="F90" s="1355"/>
      <c r="G90" s="530">
        <v>0</v>
      </c>
      <c r="H90" s="530">
        <v>0</v>
      </c>
      <c r="I90" s="532">
        <v>0</v>
      </c>
      <c r="J90" s="532">
        <v>36400</v>
      </c>
      <c r="K90" s="532">
        <v>0</v>
      </c>
      <c r="L90" s="532">
        <v>0</v>
      </c>
      <c r="M90" s="532">
        <v>0</v>
      </c>
      <c r="N90" s="224"/>
      <c r="Q90" s="168"/>
    </row>
    <row r="91" spans="1:14" s="121" customFormat="1" ht="12.75">
      <c r="A91" s="327">
        <v>85</v>
      </c>
      <c r="B91" s="707"/>
      <c r="C91" s="707"/>
      <c r="D91" s="658" t="s">
        <v>24</v>
      </c>
      <c r="E91" s="1354" t="s">
        <v>287</v>
      </c>
      <c r="F91" s="1355"/>
      <c r="G91" s="530">
        <v>4053.1</v>
      </c>
      <c r="H91" s="530">
        <v>1397.5</v>
      </c>
      <c r="I91" s="532">
        <v>0</v>
      </c>
      <c r="J91" s="532">
        <v>7113.6</v>
      </c>
      <c r="K91" s="532">
        <v>10841</v>
      </c>
      <c r="L91" s="532">
        <v>0</v>
      </c>
      <c r="M91" s="532">
        <v>0</v>
      </c>
      <c r="N91" s="224"/>
    </row>
    <row r="92" spans="1:14" s="121" customFormat="1" ht="12.75">
      <c r="A92" s="326">
        <v>86</v>
      </c>
      <c r="B92" s="709"/>
      <c r="C92" s="709"/>
      <c r="D92" s="313" t="s">
        <v>24</v>
      </c>
      <c r="E92" s="1354" t="s">
        <v>545</v>
      </c>
      <c r="F92" s="1355"/>
      <c r="G92" s="527">
        <v>10392</v>
      </c>
      <c r="H92" s="527">
        <v>202.8</v>
      </c>
      <c r="I92" s="215">
        <v>0</v>
      </c>
      <c r="J92" s="215">
        <v>42854.9</v>
      </c>
      <c r="K92" s="215">
        <v>0</v>
      </c>
      <c r="L92" s="215">
        <v>0</v>
      </c>
      <c r="M92" s="215">
        <v>0</v>
      </c>
      <c r="N92" s="224"/>
    </row>
    <row r="93" spans="1:14" s="121" customFormat="1" ht="26.25" customHeight="1" thickBot="1">
      <c r="A93" s="322">
        <v>87</v>
      </c>
      <c r="B93" s="710"/>
      <c r="C93" s="710"/>
      <c r="D93" s="711" t="s">
        <v>24</v>
      </c>
      <c r="E93" s="1422" t="s">
        <v>432</v>
      </c>
      <c r="F93" s="1423"/>
      <c r="G93" s="593">
        <v>0</v>
      </c>
      <c r="H93" s="593">
        <v>18592</v>
      </c>
      <c r="I93" s="594">
        <v>0</v>
      </c>
      <c r="J93" s="594">
        <v>18100</v>
      </c>
      <c r="K93" s="594">
        <v>0</v>
      </c>
      <c r="L93" s="594">
        <v>0</v>
      </c>
      <c r="M93" s="594">
        <v>0</v>
      </c>
      <c r="N93" s="224"/>
    </row>
    <row r="94" spans="1:18" s="121" customFormat="1" ht="13.5" thickBot="1">
      <c r="A94" s="314">
        <v>88</v>
      </c>
      <c r="B94" s="677" t="s">
        <v>52</v>
      </c>
      <c r="C94" s="1370" t="s">
        <v>179</v>
      </c>
      <c r="D94" s="1371"/>
      <c r="E94" s="1371"/>
      <c r="F94" s="1372"/>
      <c r="G94" s="569">
        <f aca="true" t="shared" si="15" ref="G94:M94">SUM(G95:G101)</f>
        <v>9000</v>
      </c>
      <c r="H94" s="569">
        <f t="shared" si="15"/>
        <v>9000</v>
      </c>
      <c r="I94" s="570">
        <f t="shared" si="15"/>
        <v>3000</v>
      </c>
      <c r="J94" s="570">
        <f t="shared" si="15"/>
        <v>24200</v>
      </c>
      <c r="K94" s="570">
        <f t="shared" si="15"/>
        <v>3000</v>
      </c>
      <c r="L94" s="570">
        <f t="shared" si="15"/>
        <v>3000</v>
      </c>
      <c r="M94" s="570">
        <f t="shared" si="15"/>
        <v>3000</v>
      </c>
      <c r="N94" s="224"/>
      <c r="R94" s="170"/>
    </row>
    <row r="95" spans="1:18" s="121" customFormat="1" ht="24" customHeight="1">
      <c r="A95" s="315">
        <v>89</v>
      </c>
      <c r="B95" s="712"/>
      <c r="C95" s="693"/>
      <c r="D95" s="372"/>
      <c r="E95" s="1406" t="s">
        <v>745</v>
      </c>
      <c r="F95" s="1407"/>
      <c r="G95" s="580">
        <v>0</v>
      </c>
      <c r="H95" s="580">
        <v>0</v>
      </c>
      <c r="I95" s="581">
        <v>0</v>
      </c>
      <c r="J95" s="581">
        <v>13000</v>
      </c>
      <c r="K95" s="581">
        <v>0</v>
      </c>
      <c r="L95" s="581">
        <v>0</v>
      </c>
      <c r="M95" s="581">
        <v>0</v>
      </c>
      <c r="N95" s="224"/>
      <c r="R95" s="170"/>
    </row>
    <row r="96" spans="1:14" s="121" customFormat="1" ht="24" customHeight="1">
      <c r="A96" s="315">
        <v>90</v>
      </c>
      <c r="B96" s="709"/>
      <c r="C96" s="656"/>
      <c r="D96" s="313"/>
      <c r="E96" s="1373" t="s">
        <v>433</v>
      </c>
      <c r="F96" s="1374"/>
      <c r="G96" s="527">
        <v>0</v>
      </c>
      <c r="H96" s="527">
        <v>6000</v>
      </c>
      <c r="I96" s="215">
        <v>0</v>
      </c>
      <c r="J96" s="215">
        <v>0</v>
      </c>
      <c r="K96" s="215">
        <v>0</v>
      </c>
      <c r="L96" s="215">
        <v>0</v>
      </c>
      <c r="M96" s="215">
        <v>0</v>
      </c>
      <c r="N96" s="224"/>
    </row>
    <row r="97" spans="1:14" s="121" customFormat="1" ht="12.75">
      <c r="A97" s="315">
        <v>91</v>
      </c>
      <c r="B97" s="709"/>
      <c r="C97" s="656"/>
      <c r="D97" s="313"/>
      <c r="E97" s="596" t="s">
        <v>373</v>
      </c>
      <c r="F97" s="564"/>
      <c r="G97" s="527">
        <v>6000</v>
      </c>
      <c r="H97" s="527">
        <v>0</v>
      </c>
      <c r="I97" s="215">
        <v>0</v>
      </c>
      <c r="J97" s="215">
        <v>0</v>
      </c>
      <c r="K97" s="215">
        <v>0</v>
      </c>
      <c r="L97" s="215">
        <v>0</v>
      </c>
      <c r="M97" s="215">
        <v>0</v>
      </c>
      <c r="N97" s="224"/>
    </row>
    <row r="98" spans="1:14" s="121" customFormat="1" ht="24" customHeight="1">
      <c r="A98" s="316">
        <v>92</v>
      </c>
      <c r="B98" s="707"/>
      <c r="C98" s="659"/>
      <c r="D98" s="658"/>
      <c r="E98" s="1373" t="s">
        <v>546</v>
      </c>
      <c r="F98" s="1374"/>
      <c r="G98" s="530">
        <v>0</v>
      </c>
      <c r="H98" s="530">
        <v>0</v>
      </c>
      <c r="I98" s="532">
        <v>0</v>
      </c>
      <c r="J98" s="532">
        <v>8200</v>
      </c>
      <c r="K98" s="532">
        <v>0</v>
      </c>
      <c r="L98" s="532">
        <v>0</v>
      </c>
      <c r="M98" s="532">
        <v>0</v>
      </c>
      <c r="N98" s="224"/>
    </row>
    <row r="99" spans="1:14" s="121" customFormat="1" ht="18.75" customHeight="1">
      <c r="A99" s="315">
        <v>93</v>
      </c>
      <c r="B99" s="707"/>
      <c r="C99" s="659"/>
      <c r="D99" s="658"/>
      <c r="E99" s="1373" t="s">
        <v>640</v>
      </c>
      <c r="F99" s="1374"/>
      <c r="G99" s="530">
        <v>0</v>
      </c>
      <c r="H99" s="530">
        <v>0</v>
      </c>
      <c r="I99" s="532">
        <v>0</v>
      </c>
      <c r="J99" s="532">
        <v>0</v>
      </c>
      <c r="K99" s="532">
        <v>0</v>
      </c>
      <c r="L99" s="532">
        <v>0</v>
      </c>
      <c r="M99" s="532">
        <v>0</v>
      </c>
      <c r="N99" s="224"/>
    </row>
    <row r="100" spans="1:14" s="121" customFormat="1" ht="24" customHeight="1">
      <c r="A100" s="317">
        <v>94</v>
      </c>
      <c r="B100" s="707"/>
      <c r="C100" s="659"/>
      <c r="D100" s="658"/>
      <c r="E100" s="1373" t="s">
        <v>588</v>
      </c>
      <c r="F100" s="1374"/>
      <c r="G100" s="530">
        <v>0</v>
      </c>
      <c r="H100" s="530">
        <v>0</v>
      </c>
      <c r="I100" s="532">
        <v>0</v>
      </c>
      <c r="J100" s="532">
        <v>0</v>
      </c>
      <c r="K100" s="532">
        <v>0</v>
      </c>
      <c r="L100" s="532">
        <v>0</v>
      </c>
      <c r="M100" s="532">
        <v>0</v>
      </c>
      <c r="N100" s="224"/>
    </row>
    <row r="101" spans="1:18" s="121" customFormat="1" ht="27" customHeight="1" thickBot="1">
      <c r="A101" s="328">
        <v>95</v>
      </c>
      <c r="B101" s="713"/>
      <c r="C101" s="714" t="s">
        <v>434</v>
      </c>
      <c r="D101" s="715" t="s">
        <v>435</v>
      </c>
      <c r="E101" s="1410" t="s">
        <v>255</v>
      </c>
      <c r="F101" s="1411"/>
      <c r="G101" s="597">
        <v>3000</v>
      </c>
      <c r="H101" s="597">
        <v>3000</v>
      </c>
      <c r="I101" s="598">
        <v>3000</v>
      </c>
      <c r="J101" s="598">
        <v>3000</v>
      </c>
      <c r="K101" s="598">
        <v>3000</v>
      </c>
      <c r="L101" s="598">
        <v>3000</v>
      </c>
      <c r="M101" s="598">
        <v>3000</v>
      </c>
      <c r="N101" s="224"/>
      <c r="R101" s="170"/>
    </row>
    <row r="102" spans="1:18" s="121" customFormat="1" ht="13.5" thickBot="1">
      <c r="A102" s="329">
        <v>96</v>
      </c>
      <c r="B102" s="1361" t="s">
        <v>55</v>
      </c>
      <c r="C102" s="1362"/>
      <c r="D102" s="1362"/>
      <c r="E102" s="1362"/>
      <c r="F102" s="1363"/>
      <c r="G102" s="599">
        <f aca="true" t="shared" si="16" ref="G102:M102">G6+G21+G63</f>
        <v>1785691.5</v>
      </c>
      <c r="H102" s="599">
        <f t="shared" si="16"/>
        <v>1881855.4100000001</v>
      </c>
      <c r="I102" s="600">
        <f t="shared" si="16"/>
        <v>1775361.82</v>
      </c>
      <c r="J102" s="600">
        <f t="shared" si="16"/>
        <v>2096938.87</v>
      </c>
      <c r="K102" s="600">
        <f t="shared" si="16"/>
        <v>1988881.3960000002</v>
      </c>
      <c r="L102" s="600">
        <f t="shared" si="16"/>
        <v>2029304.6960000002</v>
      </c>
      <c r="M102" s="600">
        <f t="shared" si="16"/>
        <v>2087287.6960000002</v>
      </c>
      <c r="N102" s="224"/>
      <c r="R102" s="170"/>
    </row>
    <row r="103" spans="1:14" s="121" customFormat="1" ht="13.5" thickBot="1">
      <c r="A103" s="330">
        <v>97</v>
      </c>
      <c r="B103" s="1364" t="s">
        <v>312</v>
      </c>
      <c r="C103" s="1365"/>
      <c r="D103" s="1365"/>
      <c r="E103" s="1365"/>
      <c r="F103" s="1366"/>
      <c r="G103" s="601">
        <f aca="true" t="shared" si="17" ref="G103:M103">G104</f>
        <v>91075.22</v>
      </c>
      <c r="H103" s="601">
        <f t="shared" si="17"/>
        <v>120741.62999999999</v>
      </c>
      <c r="I103" s="602">
        <f t="shared" si="17"/>
        <v>140852</v>
      </c>
      <c r="J103" s="602">
        <f t="shared" si="17"/>
        <v>140852</v>
      </c>
      <c r="K103" s="602">
        <f t="shared" si="17"/>
        <v>149051</v>
      </c>
      <c r="L103" s="602">
        <f t="shared" si="17"/>
        <v>157552</v>
      </c>
      <c r="M103" s="602">
        <f t="shared" si="17"/>
        <v>157552</v>
      </c>
      <c r="N103" s="224"/>
    </row>
    <row r="104" spans="1:14" s="121" customFormat="1" ht="13.5" thickBot="1">
      <c r="A104" s="325">
        <v>98</v>
      </c>
      <c r="B104" s="1367" t="s">
        <v>311</v>
      </c>
      <c r="C104" s="1368"/>
      <c r="D104" s="1368"/>
      <c r="E104" s="1368"/>
      <c r="F104" s="1369"/>
      <c r="G104" s="558">
        <f aca="true" t="shared" si="18" ref="G104:M104">SUM(G105:G118)</f>
        <v>91075.22</v>
      </c>
      <c r="H104" s="558">
        <f t="shared" si="18"/>
        <v>120741.62999999999</v>
      </c>
      <c r="I104" s="559">
        <f t="shared" si="18"/>
        <v>140852</v>
      </c>
      <c r="J104" s="559">
        <f t="shared" si="18"/>
        <v>140852</v>
      </c>
      <c r="K104" s="559">
        <f t="shared" si="18"/>
        <v>149051</v>
      </c>
      <c r="L104" s="559">
        <f t="shared" si="18"/>
        <v>157552</v>
      </c>
      <c r="M104" s="559">
        <f t="shared" si="18"/>
        <v>157552</v>
      </c>
      <c r="N104" s="224"/>
    </row>
    <row r="105" spans="1:14" s="121" customFormat="1" ht="12.75">
      <c r="A105" s="320">
        <v>99</v>
      </c>
      <c r="B105" s="712"/>
      <c r="C105" s="712"/>
      <c r="D105" s="372"/>
      <c r="E105" s="1284">
        <v>372004</v>
      </c>
      <c r="F105" s="603" t="s">
        <v>669</v>
      </c>
      <c r="G105" s="580">
        <v>0</v>
      </c>
      <c r="H105" s="580">
        <v>3000</v>
      </c>
      <c r="I105" s="581">
        <v>0</v>
      </c>
      <c r="J105" s="581">
        <v>0</v>
      </c>
      <c r="K105" s="581">
        <v>0</v>
      </c>
      <c r="L105" s="581">
        <v>0</v>
      </c>
      <c r="M105" s="581">
        <v>0</v>
      </c>
      <c r="N105" s="224"/>
    </row>
    <row r="106" spans="1:14" s="121" customFormat="1" ht="36">
      <c r="A106" s="315">
        <v>100</v>
      </c>
      <c r="B106" s="650"/>
      <c r="C106" s="650"/>
      <c r="D106" s="669"/>
      <c r="E106" s="1285">
        <v>699403</v>
      </c>
      <c r="F106" s="604" t="s">
        <v>335</v>
      </c>
      <c r="G106" s="580">
        <v>13488.39</v>
      </c>
      <c r="H106" s="580">
        <v>25077.77</v>
      </c>
      <c r="I106" s="581">
        <v>32068</v>
      </c>
      <c r="J106" s="581">
        <v>32068</v>
      </c>
      <c r="K106" s="581">
        <v>22582</v>
      </c>
      <c r="L106" s="581">
        <v>22582</v>
      </c>
      <c r="M106" s="581">
        <v>22582</v>
      </c>
      <c r="N106" s="299"/>
    </row>
    <row r="107" spans="1:14" s="121" customFormat="1" ht="24">
      <c r="A107" s="315">
        <v>101</v>
      </c>
      <c r="B107" s="675"/>
      <c r="C107" s="675"/>
      <c r="D107" s="669"/>
      <c r="E107" s="1285">
        <v>699404</v>
      </c>
      <c r="F107" s="605" t="s">
        <v>336</v>
      </c>
      <c r="G107" s="580">
        <v>9040.82</v>
      </c>
      <c r="H107" s="580">
        <v>9061.6</v>
      </c>
      <c r="I107" s="581">
        <v>13984</v>
      </c>
      <c r="J107" s="581">
        <v>13984</v>
      </c>
      <c r="K107" s="581">
        <v>11335</v>
      </c>
      <c r="L107" s="581">
        <v>11335</v>
      </c>
      <c r="M107" s="581">
        <v>11335</v>
      </c>
      <c r="N107" s="224"/>
    </row>
    <row r="108" spans="1:14" s="121" customFormat="1" ht="12.75">
      <c r="A108" s="320">
        <v>102</v>
      </c>
      <c r="B108" s="716"/>
      <c r="C108" s="716"/>
      <c r="D108" s="717"/>
      <c r="E108" s="1286">
        <v>699402</v>
      </c>
      <c r="F108" s="606" t="s">
        <v>282</v>
      </c>
      <c r="G108" s="580">
        <v>1786.27</v>
      </c>
      <c r="H108" s="580">
        <v>391.6</v>
      </c>
      <c r="I108" s="215">
        <v>0</v>
      </c>
      <c r="J108" s="215">
        <v>0</v>
      </c>
      <c r="K108" s="215">
        <v>0</v>
      </c>
      <c r="L108" s="215">
        <v>0</v>
      </c>
      <c r="M108" s="215">
        <v>0</v>
      </c>
      <c r="N108" s="224"/>
    </row>
    <row r="109" spans="1:14" s="121" customFormat="1" ht="24.75" thickBot="1">
      <c r="A109" s="320">
        <v>103</v>
      </c>
      <c r="B109" s="716"/>
      <c r="C109" s="716"/>
      <c r="D109" s="717"/>
      <c r="E109" s="1286">
        <v>699401</v>
      </c>
      <c r="F109" s="1283" t="s">
        <v>742</v>
      </c>
      <c r="G109" s="607">
        <v>16595</v>
      </c>
      <c r="H109" s="607">
        <v>17359</v>
      </c>
      <c r="I109" s="598">
        <v>16500</v>
      </c>
      <c r="J109" s="598">
        <v>16500</v>
      </c>
      <c r="K109" s="598">
        <v>16500</v>
      </c>
      <c r="L109" s="598">
        <v>16500</v>
      </c>
      <c r="M109" s="598">
        <v>16500</v>
      </c>
      <c r="N109" s="224"/>
    </row>
    <row r="110" spans="1:14" s="121" customFormat="1" ht="24">
      <c r="A110" s="320">
        <v>104</v>
      </c>
      <c r="B110" s="716"/>
      <c r="C110" s="716"/>
      <c r="D110" s="717"/>
      <c r="E110" s="1286"/>
      <c r="F110" s="1244" t="s">
        <v>739</v>
      </c>
      <c r="G110" s="609">
        <v>0</v>
      </c>
      <c r="H110" s="609">
        <v>0</v>
      </c>
      <c r="I110" s="610">
        <v>0</v>
      </c>
      <c r="J110" s="610">
        <v>0</v>
      </c>
      <c r="K110" s="610">
        <v>3388</v>
      </c>
      <c r="L110" s="610">
        <v>7453</v>
      </c>
      <c r="M110" s="610">
        <v>7453</v>
      </c>
      <c r="N110" s="224"/>
    </row>
    <row r="111" spans="1:14" s="121" customFormat="1" ht="24">
      <c r="A111" s="320">
        <v>105</v>
      </c>
      <c r="B111" s="716"/>
      <c r="C111" s="716"/>
      <c r="D111" s="717"/>
      <c r="E111" s="1286"/>
      <c r="F111" s="646" t="s">
        <v>740</v>
      </c>
      <c r="G111" s="527">
        <v>0</v>
      </c>
      <c r="H111" s="527">
        <v>0</v>
      </c>
      <c r="I111" s="215">
        <v>0</v>
      </c>
      <c r="J111" s="215">
        <v>0</v>
      </c>
      <c r="K111" s="215">
        <v>946</v>
      </c>
      <c r="L111" s="215">
        <v>2082</v>
      </c>
      <c r="M111" s="215">
        <v>2082</v>
      </c>
      <c r="N111" s="224"/>
    </row>
    <row r="112" spans="1:14" s="121" customFormat="1" ht="24.75" thickBot="1">
      <c r="A112" s="320">
        <v>106</v>
      </c>
      <c r="B112" s="716"/>
      <c r="C112" s="716"/>
      <c r="D112" s="717"/>
      <c r="E112" s="1286"/>
      <c r="F112" s="1245" t="s">
        <v>741</v>
      </c>
      <c r="G112" s="593">
        <v>0</v>
      </c>
      <c r="H112" s="593">
        <v>0</v>
      </c>
      <c r="I112" s="594">
        <v>0</v>
      </c>
      <c r="J112" s="594">
        <v>0</v>
      </c>
      <c r="K112" s="594">
        <v>3300</v>
      </c>
      <c r="L112" s="594">
        <v>6600</v>
      </c>
      <c r="M112" s="594">
        <v>6600</v>
      </c>
      <c r="N112" s="224"/>
    </row>
    <row r="113" spans="1:14" s="121" customFormat="1" ht="12.75">
      <c r="A113" s="320">
        <v>107</v>
      </c>
      <c r="B113" s="716"/>
      <c r="C113" s="716"/>
      <c r="D113" s="717"/>
      <c r="E113" s="1286">
        <v>699200</v>
      </c>
      <c r="F113" s="608" t="s">
        <v>314</v>
      </c>
      <c r="G113" s="609">
        <v>0</v>
      </c>
      <c r="H113" s="609">
        <v>0</v>
      </c>
      <c r="I113" s="610">
        <v>300</v>
      </c>
      <c r="J113" s="610">
        <v>300</v>
      </c>
      <c r="K113" s="610">
        <v>0</v>
      </c>
      <c r="L113" s="610">
        <v>0</v>
      </c>
      <c r="M113" s="610">
        <v>0</v>
      </c>
      <c r="N113" s="224"/>
    </row>
    <row r="114" spans="1:14" s="121" customFormat="1" ht="24">
      <c r="A114" s="320">
        <v>108</v>
      </c>
      <c r="B114" s="716"/>
      <c r="C114" s="716"/>
      <c r="D114" s="717"/>
      <c r="E114" s="1286">
        <v>699300</v>
      </c>
      <c r="F114" s="646" t="s">
        <v>318</v>
      </c>
      <c r="G114" s="580">
        <v>1047</v>
      </c>
      <c r="H114" s="580">
        <v>1449</v>
      </c>
      <c r="I114" s="215">
        <v>1800</v>
      </c>
      <c r="J114" s="215">
        <v>1800</v>
      </c>
      <c r="K114" s="215">
        <v>2000</v>
      </c>
      <c r="L114" s="215">
        <v>2000</v>
      </c>
      <c r="M114" s="215">
        <v>2000</v>
      </c>
      <c r="N114" s="224"/>
    </row>
    <row r="115" spans="1:14" s="121" customFormat="1" ht="29.25">
      <c r="A115" s="320">
        <v>109</v>
      </c>
      <c r="B115" s="716"/>
      <c r="C115" s="716"/>
      <c r="D115" s="717"/>
      <c r="E115" s="1287" t="s">
        <v>537</v>
      </c>
      <c r="F115" s="605" t="s">
        <v>313</v>
      </c>
      <c r="G115" s="580">
        <v>21310.58</v>
      </c>
      <c r="H115" s="580">
        <v>22354.46</v>
      </c>
      <c r="I115" s="215">
        <v>21000</v>
      </c>
      <c r="J115" s="215">
        <v>21000</v>
      </c>
      <c r="K115" s="215">
        <v>17000</v>
      </c>
      <c r="L115" s="215">
        <v>17000</v>
      </c>
      <c r="M115" s="215">
        <v>17000</v>
      </c>
      <c r="N115" s="224"/>
    </row>
    <row r="116" spans="1:14" s="121" customFormat="1" ht="12.75">
      <c r="A116" s="320">
        <v>110</v>
      </c>
      <c r="B116" s="716"/>
      <c r="C116" s="716"/>
      <c r="D116" s="717"/>
      <c r="E116" s="1286">
        <v>699203</v>
      </c>
      <c r="F116" s="606" t="s">
        <v>337</v>
      </c>
      <c r="G116" s="580">
        <v>17625.79</v>
      </c>
      <c r="H116" s="580">
        <v>32156.21</v>
      </c>
      <c r="I116" s="215">
        <v>46200</v>
      </c>
      <c r="J116" s="215">
        <v>46200</v>
      </c>
      <c r="K116" s="215">
        <v>55000</v>
      </c>
      <c r="L116" s="215">
        <v>55000</v>
      </c>
      <c r="M116" s="215">
        <v>55000</v>
      </c>
      <c r="N116" s="224"/>
    </row>
    <row r="117" spans="1:14" s="121" customFormat="1" ht="30.75" customHeight="1">
      <c r="A117" s="320">
        <v>111</v>
      </c>
      <c r="B117" s="716"/>
      <c r="C117" s="716"/>
      <c r="D117" s="717"/>
      <c r="E117" s="1287" t="s">
        <v>538</v>
      </c>
      <c r="F117" s="646" t="s">
        <v>744</v>
      </c>
      <c r="G117" s="580">
        <v>3245.37</v>
      </c>
      <c r="H117" s="580">
        <v>1821.99</v>
      </c>
      <c r="I117" s="215">
        <v>1500</v>
      </c>
      <c r="J117" s="215">
        <v>1500</v>
      </c>
      <c r="K117" s="215">
        <v>2000</v>
      </c>
      <c r="L117" s="215">
        <v>2000</v>
      </c>
      <c r="M117" s="215">
        <v>2000</v>
      </c>
      <c r="N117" s="224"/>
    </row>
    <row r="118" spans="1:14" s="121" customFormat="1" ht="24.75" thickBot="1">
      <c r="A118" s="320">
        <v>112</v>
      </c>
      <c r="B118" s="716"/>
      <c r="C118" s="716"/>
      <c r="D118" s="717"/>
      <c r="E118" s="1286">
        <v>699100</v>
      </c>
      <c r="F118" s="647" t="s">
        <v>743</v>
      </c>
      <c r="G118" s="607">
        <v>6936</v>
      </c>
      <c r="H118" s="607">
        <v>8070</v>
      </c>
      <c r="I118" s="598">
        <v>7500</v>
      </c>
      <c r="J118" s="598">
        <v>7500</v>
      </c>
      <c r="K118" s="598">
        <v>15000</v>
      </c>
      <c r="L118" s="598">
        <v>15000</v>
      </c>
      <c r="M118" s="598">
        <v>15000</v>
      </c>
      <c r="N118" s="224"/>
    </row>
    <row r="119" spans="1:14" s="121" customFormat="1" ht="13.5" thickBot="1">
      <c r="A119" s="331">
        <v>113</v>
      </c>
      <c r="B119" s="1358" t="s">
        <v>379</v>
      </c>
      <c r="C119" s="1359"/>
      <c r="D119" s="1359"/>
      <c r="E119" s="1359"/>
      <c r="F119" s="1360"/>
      <c r="G119" s="614">
        <f aca="true" t="shared" si="19" ref="G119:M119">G6+G21+G63+G103</f>
        <v>1876766.72</v>
      </c>
      <c r="H119" s="614">
        <f t="shared" si="19"/>
        <v>2002597.04</v>
      </c>
      <c r="I119" s="615">
        <f t="shared" si="19"/>
        <v>1916213.82</v>
      </c>
      <c r="J119" s="615">
        <f t="shared" si="19"/>
        <v>2237790.87</v>
      </c>
      <c r="K119" s="615">
        <f t="shared" si="19"/>
        <v>2137932.396</v>
      </c>
      <c r="L119" s="615">
        <f t="shared" si="19"/>
        <v>2186856.6960000005</v>
      </c>
      <c r="M119" s="615">
        <f t="shared" si="19"/>
        <v>2244839.6960000005</v>
      </c>
      <c r="N119" s="224"/>
    </row>
    <row r="120" ht="12.75">
      <c r="R120" s="145"/>
    </row>
    <row r="121" spans="6:13" ht="12.75">
      <c r="F121" s="60"/>
      <c r="G121" s="365"/>
      <c r="H121" s="365"/>
      <c r="I121" s="307"/>
      <c r="J121" s="307"/>
      <c r="K121" s="28"/>
      <c r="L121" s="28"/>
      <c r="M121" s="28"/>
    </row>
    <row r="122" spans="2:13" ht="12.75">
      <c r="B122" s="3"/>
      <c r="C122" s="3"/>
      <c r="D122" s="3"/>
      <c r="E122" s="3"/>
      <c r="F122" s="3"/>
      <c r="G122" s="366"/>
      <c r="H122" s="366"/>
      <c r="I122" s="4"/>
      <c r="J122" s="4"/>
      <c r="K122" s="4"/>
      <c r="L122" s="4"/>
      <c r="M122" s="4"/>
    </row>
    <row r="123" spans="2:13" ht="12.75">
      <c r="B123" s="59"/>
      <c r="C123" s="3"/>
      <c r="D123" s="3"/>
      <c r="E123" s="3"/>
      <c r="F123" s="3"/>
      <c r="G123" s="367"/>
      <c r="H123" s="367"/>
      <c r="I123" s="4"/>
      <c r="J123" s="4"/>
      <c r="K123" s="4"/>
      <c r="L123" s="4"/>
      <c r="M123" s="4"/>
    </row>
    <row r="124" spans="2:13" ht="12.75">
      <c r="B124" s="60"/>
      <c r="C124" s="3"/>
      <c r="D124" s="3"/>
      <c r="E124" s="3"/>
      <c r="F124" s="3"/>
      <c r="G124" s="367"/>
      <c r="H124" s="367"/>
      <c r="I124" s="4"/>
      <c r="J124" s="4"/>
      <c r="K124" s="4"/>
      <c r="L124" s="4"/>
      <c r="M124" s="4"/>
    </row>
    <row r="125" spans="2:13" ht="12.75">
      <c r="B125" s="60"/>
      <c r="C125" s="34"/>
      <c r="D125" s="34"/>
      <c r="E125" s="34"/>
      <c r="F125" s="34"/>
      <c r="G125" s="368"/>
      <c r="H125" s="368"/>
      <c r="I125" s="34"/>
      <c r="J125" s="34"/>
      <c r="K125" s="190"/>
      <c r="L125" s="190"/>
      <c r="M125" s="190"/>
    </row>
    <row r="126" spans="2:13" ht="12.75">
      <c r="B126" s="60"/>
      <c r="C126" s="49"/>
      <c r="D126" s="49"/>
      <c r="E126" s="49"/>
      <c r="F126" s="49"/>
      <c r="G126" s="369"/>
      <c r="H126" s="369"/>
      <c r="I126" s="49"/>
      <c r="J126" s="49"/>
      <c r="K126" s="49"/>
      <c r="L126" s="49"/>
      <c r="M126" s="49"/>
    </row>
    <row r="127" spans="2:13" ht="12.75">
      <c r="B127" s="39"/>
      <c r="C127" s="49"/>
      <c r="D127" s="49"/>
      <c r="E127" s="49"/>
      <c r="F127" s="50"/>
      <c r="G127" s="369"/>
      <c r="H127" s="369"/>
      <c r="I127" s="49"/>
      <c r="J127" s="49"/>
      <c r="K127" s="49"/>
      <c r="L127" s="49"/>
      <c r="M127" s="49"/>
    </row>
    <row r="128" spans="2:13" ht="12.75">
      <c r="B128" s="24"/>
      <c r="C128" s="38"/>
      <c r="D128" s="38"/>
      <c r="E128" s="38"/>
      <c r="F128" s="38"/>
      <c r="G128" s="370"/>
      <c r="H128" s="370"/>
      <c r="I128" s="38"/>
      <c r="J128" s="38"/>
      <c r="K128" s="38"/>
      <c r="L128" s="38"/>
      <c r="M128" s="38"/>
    </row>
    <row r="129" spans="2:13" ht="12.75">
      <c r="B129" s="41"/>
      <c r="C129" s="41"/>
      <c r="D129" s="41"/>
      <c r="E129" s="41"/>
      <c r="F129" s="41"/>
      <c r="G129" s="371"/>
      <c r="H129" s="371"/>
      <c r="I129" s="35"/>
      <c r="J129" s="35"/>
      <c r="K129" s="35"/>
      <c r="L129" s="35"/>
      <c r="M129" s="35"/>
    </row>
    <row r="130" spans="2:13" ht="12.75">
      <c r="B130" s="24"/>
      <c r="C130" s="38"/>
      <c r="D130" s="38"/>
      <c r="E130" s="38"/>
      <c r="F130" s="38"/>
      <c r="G130" s="370"/>
      <c r="H130" s="370"/>
      <c r="I130" s="38"/>
      <c r="J130" s="38"/>
      <c r="K130" s="38"/>
      <c r="L130" s="38"/>
      <c r="M130" s="38"/>
    </row>
    <row r="131" spans="2:13" ht="12.75">
      <c r="B131" s="40"/>
      <c r="C131" s="41"/>
      <c r="D131" s="41"/>
      <c r="E131" s="41"/>
      <c r="F131" s="41"/>
      <c r="G131" s="371"/>
      <c r="H131" s="371"/>
      <c r="I131" s="35"/>
      <c r="J131" s="35"/>
      <c r="K131" s="35"/>
      <c r="L131" s="35"/>
      <c r="M131" s="35"/>
    </row>
    <row r="132" spans="2:13" ht="12.75">
      <c r="B132" s="41"/>
      <c r="C132" s="41"/>
      <c r="D132" s="41"/>
      <c r="E132" s="41"/>
      <c r="F132" s="41"/>
      <c r="G132" s="371"/>
      <c r="H132" s="371"/>
      <c r="I132" s="35"/>
      <c r="J132" s="35"/>
      <c r="K132" s="35"/>
      <c r="L132" s="35"/>
      <c r="M132" s="35"/>
    </row>
    <row r="133" spans="2:13" ht="12.75">
      <c r="B133" s="41"/>
      <c r="C133" s="41"/>
      <c r="D133" s="41"/>
      <c r="E133" s="41"/>
      <c r="F133" s="41"/>
      <c r="G133" s="371"/>
      <c r="H133" s="371"/>
      <c r="I133" s="35"/>
      <c r="J133" s="35"/>
      <c r="K133" s="35"/>
      <c r="L133" s="35"/>
      <c r="M133" s="35"/>
    </row>
    <row r="134" spans="2:13" ht="12.75">
      <c r="B134" s="41"/>
      <c r="C134" s="41"/>
      <c r="D134" s="41"/>
      <c r="E134" s="41"/>
      <c r="F134" s="41"/>
      <c r="G134" s="371"/>
      <c r="H134" s="371"/>
      <c r="I134" s="35"/>
      <c r="J134" s="35"/>
      <c r="K134" s="35"/>
      <c r="L134" s="35"/>
      <c r="M134" s="35"/>
    </row>
    <row r="135" spans="2:13" ht="12.75">
      <c r="B135" s="41"/>
      <c r="C135" s="41"/>
      <c r="D135" s="41"/>
      <c r="E135" s="41"/>
      <c r="F135" s="41"/>
      <c r="G135" s="371"/>
      <c r="H135" s="371"/>
      <c r="I135" s="35"/>
      <c r="J135" s="35"/>
      <c r="K135" s="35"/>
      <c r="L135" s="35"/>
      <c r="M135" s="35"/>
    </row>
    <row r="136" spans="2:13" ht="12.75">
      <c r="B136" s="41"/>
      <c r="C136" s="35"/>
      <c r="D136" s="35"/>
      <c r="E136" s="35"/>
      <c r="F136" s="35"/>
      <c r="G136" s="371"/>
      <c r="H136" s="371"/>
      <c r="I136" s="35"/>
      <c r="J136" s="35"/>
      <c r="K136" s="35"/>
      <c r="L136" s="35"/>
      <c r="M136" s="35"/>
    </row>
    <row r="137" spans="2:13" ht="12.75">
      <c r="B137" s="42"/>
      <c r="C137" s="35"/>
      <c r="D137" s="35"/>
      <c r="E137" s="35"/>
      <c r="F137" s="35"/>
      <c r="G137" s="371"/>
      <c r="H137" s="371"/>
      <c r="I137" s="35"/>
      <c r="J137" s="35"/>
      <c r="K137" s="35"/>
      <c r="L137" s="35"/>
      <c r="M137" s="35"/>
    </row>
    <row r="141" spans="2:13" ht="12.75">
      <c r="B141" s="40"/>
      <c r="C141" s="41"/>
      <c r="D141" s="41"/>
      <c r="E141" s="41"/>
      <c r="F141" s="41"/>
      <c r="G141" s="371"/>
      <c r="H141" s="371"/>
      <c r="I141" s="35"/>
      <c r="J141" s="35"/>
      <c r="K141" s="35"/>
      <c r="L141" s="35"/>
      <c r="M141" s="35"/>
    </row>
    <row r="142" spans="2:13" ht="12.75">
      <c r="B142" s="41"/>
      <c r="C142" s="41"/>
      <c r="D142" s="41"/>
      <c r="E142" s="41"/>
      <c r="F142" s="41"/>
      <c r="G142" s="371"/>
      <c r="H142" s="371"/>
      <c r="I142" s="35"/>
      <c r="J142" s="35"/>
      <c r="K142" s="35"/>
      <c r="L142" s="35"/>
      <c r="M142" s="35"/>
    </row>
    <row r="143" spans="2:13" ht="12.75">
      <c r="B143" s="41"/>
      <c r="C143" s="41"/>
      <c r="D143" s="41"/>
      <c r="E143" s="41"/>
      <c r="F143" s="41"/>
      <c r="G143" s="371"/>
      <c r="H143" s="371"/>
      <c r="I143" s="35"/>
      <c r="J143" s="35"/>
      <c r="K143" s="35"/>
      <c r="L143" s="35"/>
      <c r="M143" s="35"/>
    </row>
    <row r="144" spans="2:13" ht="12.75">
      <c r="B144" s="41"/>
      <c r="C144" s="41"/>
      <c r="D144" s="41"/>
      <c r="E144" s="41"/>
      <c r="F144" s="41"/>
      <c r="G144" s="371"/>
      <c r="H144" s="371"/>
      <c r="I144" s="35"/>
      <c r="J144" s="35"/>
      <c r="K144" s="35"/>
      <c r="L144" s="35"/>
      <c r="M144" s="35"/>
    </row>
    <row r="145" spans="2:13" ht="12.75">
      <c r="B145" s="41"/>
      <c r="C145" s="41"/>
      <c r="D145" s="41"/>
      <c r="E145" s="41"/>
      <c r="F145" s="41"/>
      <c r="G145" s="371"/>
      <c r="H145" s="371"/>
      <c r="I145" s="35"/>
      <c r="J145" s="35"/>
      <c r="K145" s="35"/>
      <c r="L145" s="35"/>
      <c r="M145" s="35"/>
    </row>
    <row r="146" spans="2:13" ht="12.75">
      <c r="B146" s="41"/>
      <c r="C146" s="35"/>
      <c r="D146" s="35"/>
      <c r="E146" s="35"/>
      <c r="F146" s="35"/>
      <c r="G146" s="371"/>
      <c r="H146" s="371"/>
      <c r="I146" s="35"/>
      <c r="J146" s="35"/>
      <c r="K146" s="35"/>
      <c r="L146" s="35"/>
      <c r="M146" s="35"/>
    </row>
    <row r="147" spans="2:13" ht="12.75">
      <c r="B147" s="42"/>
      <c r="C147" s="35"/>
      <c r="D147" s="35"/>
      <c r="E147" s="35"/>
      <c r="F147" s="35"/>
      <c r="G147" s="371"/>
      <c r="H147" s="371"/>
      <c r="I147" s="35"/>
      <c r="J147" s="35"/>
      <c r="K147" s="35"/>
      <c r="L147" s="35"/>
      <c r="M147" s="35"/>
    </row>
  </sheetData>
  <sheetProtection/>
  <mergeCells count="89">
    <mergeCell ref="E90:F90"/>
    <mergeCell ref="E83:F83"/>
    <mergeCell ref="E84:F84"/>
    <mergeCell ref="E91:F91"/>
    <mergeCell ref="E92:F92"/>
    <mergeCell ref="E93:F93"/>
    <mergeCell ref="E85:F85"/>
    <mergeCell ref="E86:F86"/>
    <mergeCell ref="E87:F87"/>
    <mergeCell ref="E88:F88"/>
    <mergeCell ref="E89:F89"/>
    <mergeCell ref="E77:F77"/>
    <mergeCell ref="E78:F78"/>
    <mergeCell ref="E79:F79"/>
    <mergeCell ref="E80:F80"/>
    <mergeCell ref="E81:F81"/>
    <mergeCell ref="E82:F82"/>
    <mergeCell ref="E48:F48"/>
    <mergeCell ref="E50:F50"/>
    <mergeCell ref="E51:F51"/>
    <mergeCell ref="E66:F66"/>
    <mergeCell ref="E67:F67"/>
    <mergeCell ref="E68:F68"/>
    <mergeCell ref="E57:F57"/>
    <mergeCell ref="E58:F58"/>
    <mergeCell ref="E59:F59"/>
    <mergeCell ref="E60:F60"/>
    <mergeCell ref="E101:F101"/>
    <mergeCell ref="E27:F27"/>
    <mergeCell ref="E29:F29"/>
    <mergeCell ref="E30:F30"/>
    <mergeCell ref="E31:F31"/>
    <mergeCell ref="E32:F32"/>
    <mergeCell ref="E33:F33"/>
    <mergeCell ref="E34:F34"/>
    <mergeCell ref="E42:F42"/>
    <mergeCell ref="E43:F43"/>
    <mergeCell ref="E61:F61"/>
    <mergeCell ref="E95:F95"/>
    <mergeCell ref="E69:F69"/>
    <mergeCell ref="E70:F70"/>
    <mergeCell ref="E71:F71"/>
    <mergeCell ref="E72:F72"/>
    <mergeCell ref="E73:F73"/>
    <mergeCell ref="E74:F74"/>
    <mergeCell ref="E75:F75"/>
    <mergeCell ref="E76:F76"/>
    <mergeCell ref="E25:F25"/>
    <mergeCell ref="E49:F49"/>
    <mergeCell ref="E35:F35"/>
    <mergeCell ref="E36:F36"/>
    <mergeCell ref="E40:F40"/>
    <mergeCell ref="E41:F41"/>
    <mergeCell ref="E44:F44"/>
    <mergeCell ref="E45:F45"/>
    <mergeCell ref="E46:F46"/>
    <mergeCell ref="E47:F47"/>
    <mergeCell ref="E9:F9"/>
    <mergeCell ref="E12:F12"/>
    <mergeCell ref="E13:F13"/>
    <mergeCell ref="E19:F19"/>
    <mergeCell ref="C14:F14"/>
    <mergeCell ref="C10:F10"/>
    <mergeCell ref="A2:F3"/>
    <mergeCell ref="E4:F5"/>
    <mergeCell ref="A4:A5"/>
    <mergeCell ref="B4:B5"/>
    <mergeCell ref="C4:C5"/>
    <mergeCell ref="D4:D5"/>
    <mergeCell ref="B119:F119"/>
    <mergeCell ref="B102:F102"/>
    <mergeCell ref="B103:F103"/>
    <mergeCell ref="B104:F104"/>
    <mergeCell ref="C94:F94"/>
    <mergeCell ref="C64:F64"/>
    <mergeCell ref="E99:F99"/>
    <mergeCell ref="E98:F98"/>
    <mergeCell ref="E96:F96"/>
    <mergeCell ref="E100:F100"/>
    <mergeCell ref="C7:F7"/>
    <mergeCell ref="C6:F6"/>
    <mergeCell ref="C63:F63"/>
    <mergeCell ref="C54:F54"/>
    <mergeCell ref="C52:F52"/>
    <mergeCell ref="C38:F38"/>
    <mergeCell ref="C22:F22"/>
    <mergeCell ref="C21:F21"/>
    <mergeCell ref="E17:F17"/>
    <mergeCell ref="E8:F8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O36" sqref="O36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5.8515625" style="0" customWidth="1"/>
    <col min="4" max="4" width="30.7109375" style="0" customWidth="1"/>
    <col min="5" max="6" width="10.28125" style="0" bestFit="1" customWidth="1"/>
    <col min="7" max="7" width="9.8515625" style="0" bestFit="1" customWidth="1"/>
    <col min="8" max="8" width="10.28125" style="0" bestFit="1" customWidth="1"/>
    <col min="9" max="11" width="9.421875" style="0" bestFit="1" customWidth="1"/>
    <col min="12" max="12" width="9.140625" style="0" customWidth="1"/>
    <col min="13" max="13" width="1.8515625" style="0" customWidth="1"/>
  </cols>
  <sheetData>
    <row r="1" spans="1:2" ht="15" thickBot="1">
      <c r="A1" s="15"/>
      <c r="B1" s="85" t="s">
        <v>235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390" t="s">
        <v>262</v>
      </c>
      <c r="G2" s="51" t="s">
        <v>263</v>
      </c>
      <c r="H2" s="394" t="s">
        <v>216</v>
      </c>
      <c r="I2" s="139" t="s">
        <v>12</v>
      </c>
      <c r="J2" s="398" t="s">
        <v>12</v>
      </c>
      <c r="K2" s="127" t="s">
        <v>12</v>
      </c>
    </row>
    <row r="3" spans="1:11" ht="12.75">
      <c r="A3" s="54"/>
      <c r="B3" s="1494"/>
      <c r="C3" s="1495"/>
      <c r="D3" s="1495"/>
      <c r="E3" s="80"/>
      <c r="F3" s="391"/>
      <c r="G3" s="125" t="s">
        <v>215</v>
      </c>
      <c r="H3" s="395" t="s">
        <v>217</v>
      </c>
      <c r="I3" s="140"/>
      <c r="J3" s="399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521" t="s">
        <v>5</v>
      </c>
      <c r="E4" s="124" t="s">
        <v>272</v>
      </c>
      <c r="F4" s="392" t="s">
        <v>284</v>
      </c>
      <c r="G4" s="126">
        <v>2023</v>
      </c>
      <c r="H4" s="396" t="s">
        <v>332</v>
      </c>
      <c r="I4" s="141">
        <v>2024</v>
      </c>
      <c r="J4" s="400" t="s">
        <v>421</v>
      </c>
      <c r="K4" s="129">
        <v>2026</v>
      </c>
    </row>
    <row r="5" spans="1:11" ht="13.5" thickBot="1">
      <c r="A5" s="1467"/>
      <c r="B5" s="1469"/>
      <c r="C5" s="1469"/>
      <c r="D5" s="1522"/>
      <c r="E5" s="83" t="s">
        <v>207</v>
      </c>
      <c r="F5" s="393" t="s">
        <v>207</v>
      </c>
      <c r="G5" s="84" t="s">
        <v>207</v>
      </c>
      <c r="H5" s="397" t="s">
        <v>207</v>
      </c>
      <c r="I5" s="142" t="s">
        <v>207</v>
      </c>
      <c r="J5" s="401" t="s">
        <v>207</v>
      </c>
      <c r="K5" s="131" t="s">
        <v>207</v>
      </c>
    </row>
    <row r="6" spans="1:11" ht="14.25" thickBot="1" thickTop="1">
      <c r="A6" s="456">
        <v>1</v>
      </c>
      <c r="B6" s="459" t="s">
        <v>280</v>
      </c>
      <c r="C6" s="738"/>
      <c r="D6" s="477"/>
      <c r="E6" s="154">
        <f>E7+E34</f>
        <v>45409.29000000001</v>
      </c>
      <c r="F6" s="1042">
        <f aca="true" t="shared" si="0" ref="F6:K6">F7+F34</f>
        <v>44517.31</v>
      </c>
      <c r="G6" s="154">
        <f t="shared" si="0"/>
        <v>49134</v>
      </c>
      <c r="H6" s="1042">
        <f t="shared" si="0"/>
        <v>54507</v>
      </c>
      <c r="I6" s="154">
        <f t="shared" si="0"/>
        <v>33900</v>
      </c>
      <c r="J6" s="1042">
        <f t="shared" si="0"/>
        <v>33900</v>
      </c>
      <c r="K6" s="154">
        <f t="shared" si="0"/>
        <v>33900</v>
      </c>
    </row>
    <row r="7" spans="1:11" ht="13.5" thickTop="1">
      <c r="A7" s="456">
        <v>2</v>
      </c>
      <c r="B7" s="457">
        <v>1</v>
      </c>
      <c r="C7" s="478" t="s">
        <v>89</v>
      </c>
      <c r="D7" s="458"/>
      <c r="E7" s="157">
        <f aca="true" t="shared" si="1" ref="E7:K7">E8</f>
        <v>40879.770000000004</v>
      </c>
      <c r="F7" s="1043">
        <f t="shared" si="1"/>
        <v>39460.299999999996</v>
      </c>
      <c r="G7" s="157">
        <f t="shared" si="1"/>
        <v>43134</v>
      </c>
      <c r="H7" s="1043">
        <f t="shared" si="1"/>
        <v>46630</v>
      </c>
      <c r="I7" s="157">
        <f t="shared" si="1"/>
        <v>26300</v>
      </c>
      <c r="J7" s="1043">
        <f t="shared" si="1"/>
        <v>26300</v>
      </c>
      <c r="K7" s="157">
        <f t="shared" si="1"/>
        <v>26300</v>
      </c>
    </row>
    <row r="8" spans="1:11" ht="12.75">
      <c r="A8" s="456">
        <v>3</v>
      </c>
      <c r="B8" s="105" t="s">
        <v>197</v>
      </c>
      <c r="C8" s="480" t="s">
        <v>161</v>
      </c>
      <c r="D8" s="481"/>
      <c r="E8" s="158">
        <f>SUM(E9:E16)</f>
        <v>40879.770000000004</v>
      </c>
      <c r="F8" s="1044">
        <f aca="true" t="shared" si="2" ref="F8:K8">SUM(F9:F16)</f>
        <v>39460.299999999996</v>
      </c>
      <c r="G8" s="158">
        <f t="shared" si="2"/>
        <v>43134</v>
      </c>
      <c r="H8" s="1044">
        <f t="shared" si="2"/>
        <v>46630</v>
      </c>
      <c r="I8" s="158">
        <f t="shared" si="2"/>
        <v>26300</v>
      </c>
      <c r="J8" s="1044">
        <f t="shared" si="2"/>
        <v>26300</v>
      </c>
      <c r="K8" s="158">
        <f t="shared" si="2"/>
        <v>26300</v>
      </c>
    </row>
    <row r="9" spans="1:14" ht="12.75">
      <c r="A9" s="456">
        <v>4</v>
      </c>
      <c r="B9" s="471"/>
      <c r="C9" s="905" t="s">
        <v>218</v>
      </c>
      <c r="D9" s="489" t="s">
        <v>493</v>
      </c>
      <c r="E9" s="148">
        <v>2690.44</v>
      </c>
      <c r="F9" s="1045">
        <v>3245.21</v>
      </c>
      <c r="G9" s="148">
        <v>5000</v>
      </c>
      <c r="H9" s="1045">
        <v>4400</v>
      </c>
      <c r="I9" s="148">
        <v>4400</v>
      </c>
      <c r="J9" s="1045">
        <v>4400</v>
      </c>
      <c r="K9" s="148">
        <v>4400</v>
      </c>
      <c r="N9" s="149"/>
    </row>
    <row r="10" spans="1:14" ht="12.75">
      <c r="A10" s="456">
        <v>5</v>
      </c>
      <c r="B10" s="471"/>
      <c r="C10" s="1005" t="s">
        <v>218</v>
      </c>
      <c r="D10" s="491" t="s">
        <v>492</v>
      </c>
      <c r="E10" s="148">
        <v>0</v>
      </c>
      <c r="F10" s="1045">
        <v>0</v>
      </c>
      <c r="G10" s="148">
        <v>6420</v>
      </c>
      <c r="H10" s="1045">
        <v>8686</v>
      </c>
      <c r="I10" s="148">
        <v>8686</v>
      </c>
      <c r="J10" s="1045">
        <v>8686</v>
      </c>
      <c r="K10" s="148">
        <v>8686</v>
      </c>
      <c r="N10" s="28"/>
    </row>
    <row r="11" spans="1:11" ht="12.75">
      <c r="A11" s="1046">
        <v>6</v>
      </c>
      <c r="B11" s="471"/>
      <c r="C11" s="1005" t="s">
        <v>218</v>
      </c>
      <c r="D11" s="491" t="s">
        <v>376</v>
      </c>
      <c r="E11" s="148">
        <v>169.04</v>
      </c>
      <c r="F11" s="1045">
        <v>167.26</v>
      </c>
      <c r="G11" s="148">
        <v>150</v>
      </c>
      <c r="H11" s="1045">
        <v>150</v>
      </c>
      <c r="I11" s="148">
        <v>150</v>
      </c>
      <c r="J11" s="1045">
        <v>150</v>
      </c>
      <c r="K11" s="148">
        <v>150</v>
      </c>
    </row>
    <row r="12" spans="1:11" ht="12.75">
      <c r="A12" s="456">
        <v>7</v>
      </c>
      <c r="B12" s="471"/>
      <c r="C12" s="1005" t="s">
        <v>218</v>
      </c>
      <c r="D12" s="491" t="s">
        <v>109</v>
      </c>
      <c r="E12" s="148">
        <v>506.95</v>
      </c>
      <c r="F12" s="1045">
        <v>506.01</v>
      </c>
      <c r="G12" s="148">
        <v>600</v>
      </c>
      <c r="H12" s="1045">
        <v>600</v>
      </c>
      <c r="I12" s="148">
        <v>600</v>
      </c>
      <c r="J12" s="1045">
        <v>600</v>
      </c>
      <c r="K12" s="148">
        <v>600</v>
      </c>
    </row>
    <row r="13" spans="1:13" ht="12.75">
      <c r="A13" s="456">
        <v>8</v>
      </c>
      <c r="B13" s="471"/>
      <c r="C13" s="1005" t="s">
        <v>218</v>
      </c>
      <c r="D13" s="491" t="s">
        <v>308</v>
      </c>
      <c r="E13" s="148">
        <v>6909.3</v>
      </c>
      <c r="F13" s="1045">
        <v>6932.4</v>
      </c>
      <c r="G13" s="148">
        <v>7000</v>
      </c>
      <c r="H13" s="1045">
        <v>7000</v>
      </c>
      <c r="I13" s="148">
        <v>7000</v>
      </c>
      <c r="J13" s="1045">
        <v>7000</v>
      </c>
      <c r="K13" s="148">
        <v>7000</v>
      </c>
      <c r="L13" s="28"/>
      <c r="M13" s="149"/>
    </row>
    <row r="14" spans="1:13" ht="12.75">
      <c r="A14" s="1046">
        <v>9</v>
      </c>
      <c r="B14" s="471"/>
      <c r="C14" s="1005" t="s">
        <v>234</v>
      </c>
      <c r="D14" s="491" t="s">
        <v>309</v>
      </c>
      <c r="E14" s="148">
        <v>2445.66</v>
      </c>
      <c r="F14" s="1045">
        <v>2422.56</v>
      </c>
      <c r="G14" s="148">
        <f>G13*0.352</f>
        <v>2464</v>
      </c>
      <c r="H14" s="1045">
        <v>2464</v>
      </c>
      <c r="I14" s="148">
        <v>2464</v>
      </c>
      <c r="J14" s="1045">
        <v>2464</v>
      </c>
      <c r="K14" s="148">
        <v>2464</v>
      </c>
      <c r="M14" s="149"/>
    </row>
    <row r="15" spans="1:12" ht="40.5" customHeight="1" thickBot="1">
      <c r="A15" s="963">
        <v>10</v>
      </c>
      <c r="B15" s="1016"/>
      <c r="C15" s="1017" t="s">
        <v>218</v>
      </c>
      <c r="D15" s="789" t="s">
        <v>691</v>
      </c>
      <c r="E15" s="951">
        <v>1544.18</v>
      </c>
      <c r="F15" s="790">
        <v>1587.05</v>
      </c>
      <c r="G15" s="951">
        <v>1500</v>
      </c>
      <c r="H15" s="790">
        <v>3000</v>
      </c>
      <c r="I15" s="951">
        <v>3000</v>
      </c>
      <c r="J15" s="790">
        <v>3000</v>
      </c>
      <c r="K15" s="951">
        <v>3000</v>
      </c>
      <c r="L15" s="143"/>
    </row>
    <row r="16" spans="1:14" ht="13.5" thickBot="1">
      <c r="A16" s="1047">
        <v>11</v>
      </c>
      <c r="B16" s="1048"/>
      <c r="C16" s="1049"/>
      <c r="D16" s="1050" t="s">
        <v>715</v>
      </c>
      <c r="E16" s="1051">
        <f>E17+E26+E27+E28</f>
        <v>26614.2</v>
      </c>
      <c r="F16" s="1052">
        <f>F17+F26+F27+F28</f>
        <v>24599.809999999998</v>
      </c>
      <c r="G16" s="1051">
        <f>G17+G26+G27+G28+G30+G31+G32+G33</f>
        <v>20000</v>
      </c>
      <c r="H16" s="1052">
        <f>H17+H26+H27+H28+H30+H31+H32+H33</f>
        <v>20330</v>
      </c>
      <c r="I16" s="1051">
        <f>I17+I26+I27+I28+I29+I30+I31+I32+I33</f>
        <v>0</v>
      </c>
      <c r="J16" s="1051">
        <f>J17+J26+J27+J28+J29+J30+J31+J32+J33</f>
        <v>0</v>
      </c>
      <c r="K16" s="1051">
        <f>K17+K26+K27+K28+K29+K30+K31+K32+K33</f>
        <v>0</v>
      </c>
      <c r="N16" s="188"/>
    </row>
    <row r="17" spans="1:14" s="163" customFormat="1" ht="13.5" thickBot="1">
      <c r="A17" s="1053">
        <v>12</v>
      </c>
      <c r="B17" s="1054"/>
      <c r="C17" s="1055" t="s">
        <v>219</v>
      </c>
      <c r="D17" s="1056" t="s">
        <v>285</v>
      </c>
      <c r="E17" s="1057">
        <f>E18+E19+E20+E21+E22+E23+E24+E25</f>
        <v>19999.86</v>
      </c>
      <c r="F17" s="1058">
        <f>F18+F19+F20+F21+F22+F23+F24+F25</f>
        <v>21499.809999999998</v>
      </c>
      <c r="G17" s="1057">
        <f>SUM(G18:G25)</f>
        <v>16300</v>
      </c>
      <c r="H17" s="1058">
        <f>SUM(H18:H25)</f>
        <v>16300</v>
      </c>
      <c r="I17" s="1057">
        <f>SUM(I18:I25)</f>
        <v>0</v>
      </c>
      <c r="J17" s="1058">
        <f>SUM(J18:J25)</f>
        <v>0</v>
      </c>
      <c r="K17" s="1057">
        <f>SUM(K18:K25)</f>
        <v>0</v>
      </c>
      <c r="L17" s="295"/>
      <c r="N17" s="205"/>
    </row>
    <row r="18" spans="1:14" s="163" customFormat="1" ht="12.75">
      <c r="A18" s="1053">
        <v>13</v>
      </c>
      <c r="B18" s="1054"/>
      <c r="C18" s="1059"/>
      <c r="D18" s="1060" t="s">
        <v>267</v>
      </c>
      <c r="E18" s="1061">
        <v>500</v>
      </c>
      <c r="F18" s="1062">
        <v>0</v>
      </c>
      <c r="G18" s="1061">
        <v>0</v>
      </c>
      <c r="H18" s="1062">
        <v>0</v>
      </c>
      <c r="I18" s="1061">
        <v>0</v>
      </c>
      <c r="J18" s="1062">
        <v>0</v>
      </c>
      <c r="K18" s="1061">
        <v>0</v>
      </c>
      <c r="M18" s="187"/>
      <c r="N18" s="206"/>
    </row>
    <row r="19" spans="1:14" s="163" customFormat="1" ht="12.75">
      <c r="A19" s="1053">
        <v>14</v>
      </c>
      <c r="B19" s="1054"/>
      <c r="C19" s="1063"/>
      <c r="D19" s="1064" t="s">
        <v>487</v>
      </c>
      <c r="E19" s="1065">
        <v>1500</v>
      </c>
      <c r="F19" s="1066">
        <v>0</v>
      </c>
      <c r="G19" s="1065">
        <v>0</v>
      </c>
      <c r="H19" s="1066">
        <v>0</v>
      </c>
      <c r="I19" s="1065">
        <v>0</v>
      </c>
      <c r="J19" s="1066">
        <v>0</v>
      </c>
      <c r="K19" s="1065">
        <v>0</v>
      </c>
      <c r="M19" s="164"/>
      <c r="N19" s="206"/>
    </row>
    <row r="20" spans="1:14" s="163" customFormat="1" ht="12.75">
      <c r="A20" s="1053">
        <v>15</v>
      </c>
      <c r="B20" s="1054"/>
      <c r="C20" s="1063"/>
      <c r="D20" s="1064" t="s">
        <v>268</v>
      </c>
      <c r="E20" s="1065">
        <v>750</v>
      </c>
      <c r="F20" s="1066">
        <v>0</v>
      </c>
      <c r="G20" s="1065">
        <v>0</v>
      </c>
      <c r="H20" s="1066">
        <v>0</v>
      </c>
      <c r="I20" s="1065">
        <v>0</v>
      </c>
      <c r="J20" s="1066">
        <v>0</v>
      </c>
      <c r="K20" s="1065">
        <v>0</v>
      </c>
      <c r="N20" s="206"/>
    </row>
    <row r="21" spans="1:14" s="163" customFormat="1" ht="24">
      <c r="A21" s="1053">
        <v>16</v>
      </c>
      <c r="B21" s="1054"/>
      <c r="C21" s="1063"/>
      <c r="D21" s="1064" t="s">
        <v>513</v>
      </c>
      <c r="E21" s="1065">
        <v>750</v>
      </c>
      <c r="F21" s="1066">
        <v>0</v>
      </c>
      <c r="G21" s="1065">
        <v>2300</v>
      </c>
      <c r="H21" s="1066">
        <v>2300</v>
      </c>
      <c r="I21" s="1065">
        <v>0</v>
      </c>
      <c r="J21" s="1066">
        <v>0</v>
      </c>
      <c r="K21" s="1065">
        <v>0</v>
      </c>
      <c r="N21" s="206"/>
    </row>
    <row r="22" spans="1:14" s="163" customFormat="1" ht="12.75">
      <c r="A22" s="1053">
        <v>17</v>
      </c>
      <c r="B22" s="1054"/>
      <c r="C22" s="1063"/>
      <c r="D22" s="1064" t="s">
        <v>269</v>
      </c>
      <c r="E22" s="1065">
        <v>0</v>
      </c>
      <c r="F22" s="1066">
        <v>0</v>
      </c>
      <c r="G22" s="1065">
        <v>0</v>
      </c>
      <c r="H22" s="1066">
        <v>0</v>
      </c>
      <c r="I22" s="1065">
        <v>0</v>
      </c>
      <c r="J22" s="1066">
        <v>0</v>
      </c>
      <c r="K22" s="1065">
        <v>0</v>
      </c>
      <c r="N22" s="206"/>
    </row>
    <row r="23" spans="1:14" s="163" customFormat="1" ht="24">
      <c r="A23" s="1067">
        <v>18</v>
      </c>
      <c r="B23" s="1054"/>
      <c r="C23" s="1063"/>
      <c r="D23" s="1064" t="s">
        <v>266</v>
      </c>
      <c r="E23" s="1065">
        <v>4999.86</v>
      </c>
      <c r="F23" s="1066">
        <v>10500</v>
      </c>
      <c r="G23" s="1065">
        <v>10500</v>
      </c>
      <c r="H23" s="1066">
        <v>10500</v>
      </c>
      <c r="I23" s="1065">
        <v>0</v>
      </c>
      <c r="J23" s="1066">
        <v>0</v>
      </c>
      <c r="K23" s="1065">
        <v>0</v>
      </c>
      <c r="N23" s="206"/>
    </row>
    <row r="24" spans="1:14" s="163" customFormat="1" ht="48">
      <c r="A24" s="1067">
        <v>19</v>
      </c>
      <c r="B24" s="1054"/>
      <c r="C24" s="1063"/>
      <c r="D24" s="1064" t="s">
        <v>504</v>
      </c>
      <c r="E24" s="1068">
        <v>1500</v>
      </c>
      <c r="F24" s="1069">
        <v>2999.81</v>
      </c>
      <c r="G24" s="1068">
        <v>3500</v>
      </c>
      <c r="H24" s="1069">
        <v>3500</v>
      </c>
      <c r="I24" s="1068">
        <v>0</v>
      </c>
      <c r="J24" s="1069">
        <v>0</v>
      </c>
      <c r="K24" s="1068">
        <v>0</v>
      </c>
      <c r="N24" s="206"/>
    </row>
    <row r="25" spans="1:14" s="163" customFormat="1" ht="36.75" thickBot="1">
      <c r="A25" s="1067">
        <v>20</v>
      </c>
      <c r="B25" s="1054"/>
      <c r="C25" s="1070"/>
      <c r="D25" s="1071" t="s">
        <v>505</v>
      </c>
      <c r="E25" s="1072">
        <v>10000</v>
      </c>
      <c r="F25" s="1073">
        <v>8000</v>
      </c>
      <c r="G25" s="1072">
        <v>0</v>
      </c>
      <c r="H25" s="1073">
        <v>0</v>
      </c>
      <c r="I25" s="1072">
        <v>0</v>
      </c>
      <c r="J25" s="1073">
        <v>0</v>
      </c>
      <c r="K25" s="1072">
        <v>0</v>
      </c>
      <c r="N25" s="206"/>
    </row>
    <row r="26" spans="1:11" s="163" customFormat="1" ht="24">
      <c r="A26" s="1067">
        <v>21</v>
      </c>
      <c r="B26" s="1074"/>
      <c r="C26" s="1075" t="s">
        <v>219</v>
      </c>
      <c r="D26" s="499" t="s">
        <v>418</v>
      </c>
      <c r="E26" s="1076">
        <v>3554.34</v>
      </c>
      <c r="F26" s="1077">
        <v>0</v>
      </c>
      <c r="G26" s="1076">
        <v>1000</v>
      </c>
      <c r="H26" s="1077">
        <v>1000</v>
      </c>
      <c r="I26" s="1076">
        <v>0</v>
      </c>
      <c r="J26" s="1077">
        <v>0</v>
      </c>
      <c r="K26" s="1076">
        <v>0</v>
      </c>
    </row>
    <row r="27" spans="1:11" s="163" customFormat="1" ht="48">
      <c r="A27" s="1067">
        <v>22</v>
      </c>
      <c r="B27" s="1074"/>
      <c r="C27" s="1075" t="s">
        <v>219</v>
      </c>
      <c r="D27" s="499" t="s">
        <v>507</v>
      </c>
      <c r="E27" s="1078">
        <v>2500</v>
      </c>
      <c r="F27" s="1079">
        <v>2500</v>
      </c>
      <c r="G27" s="1078">
        <v>1500</v>
      </c>
      <c r="H27" s="1079">
        <v>1500</v>
      </c>
      <c r="I27" s="1078">
        <v>0</v>
      </c>
      <c r="J27" s="1079">
        <v>0</v>
      </c>
      <c r="K27" s="1078">
        <v>0</v>
      </c>
    </row>
    <row r="28" spans="1:12" s="163" customFormat="1" ht="24">
      <c r="A28" s="1067">
        <v>23</v>
      </c>
      <c r="B28" s="1074"/>
      <c r="C28" s="1075" t="s">
        <v>219</v>
      </c>
      <c r="D28" s="499" t="s">
        <v>506</v>
      </c>
      <c r="E28" s="1078">
        <v>560</v>
      </c>
      <c r="F28" s="1079">
        <v>600</v>
      </c>
      <c r="G28" s="1078">
        <v>0</v>
      </c>
      <c r="H28" s="1079">
        <v>0</v>
      </c>
      <c r="I28" s="1078">
        <v>0</v>
      </c>
      <c r="J28" s="1079">
        <v>0</v>
      </c>
      <c r="K28" s="1078">
        <v>0</v>
      </c>
      <c r="L28" s="162"/>
    </row>
    <row r="29" spans="1:12" s="163" customFormat="1" ht="24">
      <c r="A29" s="1067">
        <v>24</v>
      </c>
      <c r="B29" s="1074"/>
      <c r="C29" s="1075" t="s">
        <v>219</v>
      </c>
      <c r="D29" s="499" t="s">
        <v>714</v>
      </c>
      <c r="E29" s="1078">
        <v>0</v>
      </c>
      <c r="F29" s="1079">
        <v>0</v>
      </c>
      <c r="G29" s="1078">
        <v>0</v>
      </c>
      <c r="H29" s="1079">
        <v>0</v>
      </c>
      <c r="I29" s="1078">
        <v>0</v>
      </c>
      <c r="J29" s="1079">
        <v>0</v>
      </c>
      <c r="K29" s="1078">
        <v>0</v>
      </c>
      <c r="L29" s="162"/>
    </row>
    <row r="30" spans="1:12" s="163" customFormat="1" ht="36">
      <c r="A30" s="1067">
        <v>25</v>
      </c>
      <c r="B30" s="1074"/>
      <c r="C30" s="1080" t="s">
        <v>219</v>
      </c>
      <c r="D30" s="499" t="s">
        <v>575</v>
      </c>
      <c r="E30" s="1078">
        <v>0</v>
      </c>
      <c r="F30" s="1079">
        <v>0</v>
      </c>
      <c r="G30" s="1078">
        <v>0</v>
      </c>
      <c r="H30" s="1079">
        <v>330</v>
      </c>
      <c r="I30" s="1078">
        <v>0</v>
      </c>
      <c r="J30" s="1079">
        <v>0</v>
      </c>
      <c r="K30" s="1078">
        <v>0</v>
      </c>
      <c r="L30" s="162"/>
    </row>
    <row r="31" spans="1:11" s="163" customFormat="1" ht="24">
      <c r="A31" s="1067">
        <v>26</v>
      </c>
      <c r="B31" s="1074"/>
      <c r="C31" s="1080" t="s">
        <v>219</v>
      </c>
      <c r="D31" s="499" t="s">
        <v>510</v>
      </c>
      <c r="E31" s="1078">
        <v>0</v>
      </c>
      <c r="F31" s="1079">
        <v>0</v>
      </c>
      <c r="G31" s="1078">
        <v>300</v>
      </c>
      <c r="H31" s="1079">
        <v>300</v>
      </c>
      <c r="I31" s="1078">
        <v>0</v>
      </c>
      <c r="J31" s="1079">
        <v>0</v>
      </c>
      <c r="K31" s="1078">
        <v>0</v>
      </c>
    </row>
    <row r="32" spans="1:11" s="163" customFormat="1" ht="24">
      <c r="A32" s="1067">
        <v>27</v>
      </c>
      <c r="B32" s="1074"/>
      <c r="C32" s="1081" t="s">
        <v>219</v>
      </c>
      <c r="D32" s="499" t="s">
        <v>511</v>
      </c>
      <c r="E32" s="1078">
        <v>0</v>
      </c>
      <c r="F32" s="1079">
        <v>0</v>
      </c>
      <c r="G32" s="1078">
        <v>300</v>
      </c>
      <c r="H32" s="1079">
        <v>300</v>
      </c>
      <c r="I32" s="1078">
        <v>0</v>
      </c>
      <c r="J32" s="1079">
        <v>0</v>
      </c>
      <c r="K32" s="1078">
        <v>0</v>
      </c>
    </row>
    <row r="33" spans="1:11" s="163" customFormat="1" ht="24.75" thickBot="1">
      <c r="A33" s="1082">
        <v>28</v>
      </c>
      <c r="B33" s="1083"/>
      <c r="C33" s="1084" t="s">
        <v>219</v>
      </c>
      <c r="D33" s="912" t="s">
        <v>512</v>
      </c>
      <c r="E33" s="1085">
        <v>0</v>
      </c>
      <c r="F33" s="1086">
        <v>0</v>
      </c>
      <c r="G33" s="1085">
        <v>600</v>
      </c>
      <c r="H33" s="1086">
        <v>600</v>
      </c>
      <c r="I33" s="1085">
        <v>0</v>
      </c>
      <c r="J33" s="1086">
        <v>0</v>
      </c>
      <c r="K33" s="1085">
        <v>0</v>
      </c>
    </row>
    <row r="34" spans="1:11" s="163" customFormat="1" ht="12.75">
      <c r="A34" s="1067">
        <v>29</v>
      </c>
      <c r="B34" s="457">
        <v>2</v>
      </c>
      <c r="C34" s="478" t="s">
        <v>110</v>
      </c>
      <c r="D34" s="458"/>
      <c r="E34" s="157">
        <f aca="true" t="shared" si="3" ref="E34:K34">E35</f>
        <v>4529.52</v>
      </c>
      <c r="F34" s="1043">
        <f t="shared" si="3"/>
        <v>5057.01</v>
      </c>
      <c r="G34" s="157">
        <f t="shared" si="3"/>
        <v>6000</v>
      </c>
      <c r="H34" s="1043">
        <f t="shared" si="3"/>
        <v>7877</v>
      </c>
      <c r="I34" s="157">
        <f t="shared" si="3"/>
        <v>7600</v>
      </c>
      <c r="J34" s="1043">
        <f t="shared" si="3"/>
        <v>7600</v>
      </c>
      <c r="K34" s="157">
        <f t="shared" si="3"/>
        <v>7600</v>
      </c>
    </row>
    <row r="35" spans="1:11" ht="12.75">
      <c r="A35" s="1046">
        <v>30</v>
      </c>
      <c r="B35" s="105" t="s">
        <v>198</v>
      </c>
      <c r="C35" s="1087" t="s">
        <v>110</v>
      </c>
      <c r="D35" s="1088"/>
      <c r="E35" s="158">
        <f>SUM(E36:E37)</f>
        <v>4529.52</v>
      </c>
      <c r="F35" s="1044">
        <f>SUM(F36:F37)</f>
        <v>5057.01</v>
      </c>
      <c r="G35" s="158">
        <f>SUM(G36:G37)</f>
        <v>6000</v>
      </c>
      <c r="H35" s="1044">
        <f>SUM(H36:H39)</f>
        <v>7877</v>
      </c>
      <c r="I35" s="158">
        <f>SUM(I36:I40)</f>
        <v>7600</v>
      </c>
      <c r="J35" s="158">
        <f>SUM(J36:J40)</f>
        <v>7600</v>
      </c>
      <c r="K35" s="158">
        <f>SUM(K36:K40)</f>
        <v>7600</v>
      </c>
    </row>
    <row r="36" spans="1:11" s="121" customFormat="1" ht="36">
      <c r="A36" s="456">
        <v>31</v>
      </c>
      <c r="B36" s="750"/>
      <c r="C36" s="1089" t="s">
        <v>218</v>
      </c>
      <c r="D36" s="1090" t="s">
        <v>632</v>
      </c>
      <c r="E36" s="821">
        <v>4529.52</v>
      </c>
      <c r="F36" s="1091">
        <v>2379.74</v>
      </c>
      <c r="G36" s="821">
        <v>3500</v>
      </c>
      <c r="H36" s="1091">
        <v>3029.89</v>
      </c>
      <c r="I36" s="821">
        <v>3500</v>
      </c>
      <c r="J36" s="1091">
        <v>3500</v>
      </c>
      <c r="K36" s="821">
        <v>3500</v>
      </c>
    </row>
    <row r="37" spans="1:11" s="121" customFormat="1" ht="12.75">
      <c r="A37" s="456">
        <v>32</v>
      </c>
      <c r="B37" s="750"/>
      <c r="C37" s="1089" t="s">
        <v>218</v>
      </c>
      <c r="D37" s="502" t="s">
        <v>630</v>
      </c>
      <c r="E37" s="821">
        <v>0</v>
      </c>
      <c r="F37" s="1091">
        <v>2677.27</v>
      </c>
      <c r="G37" s="821">
        <v>2500</v>
      </c>
      <c r="H37" s="1091">
        <v>1789.29</v>
      </c>
      <c r="I37" s="821">
        <v>1500</v>
      </c>
      <c r="J37" s="1091">
        <v>1500</v>
      </c>
      <c r="K37" s="821">
        <v>1500</v>
      </c>
    </row>
    <row r="38" spans="1:11" s="121" customFormat="1" ht="12.75">
      <c r="A38" s="462">
        <v>33</v>
      </c>
      <c r="B38" s="1092"/>
      <c r="C38" s="1093" t="s">
        <v>218</v>
      </c>
      <c r="D38" s="502" t="s">
        <v>631</v>
      </c>
      <c r="E38" s="867">
        <v>0</v>
      </c>
      <c r="F38" s="866">
        <v>0</v>
      </c>
      <c r="G38" s="867">
        <v>0</v>
      </c>
      <c r="H38" s="866">
        <v>377</v>
      </c>
      <c r="I38" s="867">
        <v>0</v>
      </c>
      <c r="J38" s="866">
        <v>0</v>
      </c>
      <c r="K38" s="867">
        <v>0</v>
      </c>
    </row>
    <row r="39" spans="1:11" s="121" customFormat="1" ht="12.75">
      <c r="A39" s="462">
        <v>34</v>
      </c>
      <c r="B39" s="1092"/>
      <c r="C39" s="1093" t="s">
        <v>218</v>
      </c>
      <c r="D39" s="505" t="s">
        <v>288</v>
      </c>
      <c r="E39" s="867">
        <v>0</v>
      </c>
      <c r="F39" s="866">
        <v>0</v>
      </c>
      <c r="G39" s="867">
        <v>0</v>
      </c>
      <c r="H39" s="866">
        <v>2680.82</v>
      </c>
      <c r="I39" s="867">
        <v>2600</v>
      </c>
      <c r="J39" s="866">
        <v>2600</v>
      </c>
      <c r="K39" s="867">
        <v>2600</v>
      </c>
    </row>
    <row r="40" spans="1:11" s="121" customFormat="1" ht="24.75" thickBot="1">
      <c r="A40" s="909">
        <v>35</v>
      </c>
      <c r="B40" s="1094"/>
      <c r="C40" s="1095" t="s">
        <v>218</v>
      </c>
      <c r="D40" s="940" t="s">
        <v>641</v>
      </c>
      <c r="E40" s="879">
        <v>0</v>
      </c>
      <c r="F40" s="878">
        <v>0</v>
      </c>
      <c r="G40" s="879">
        <v>0</v>
      </c>
      <c r="H40" s="878">
        <v>0</v>
      </c>
      <c r="I40" s="879">
        <v>0</v>
      </c>
      <c r="J40" s="878">
        <v>0</v>
      </c>
      <c r="K40" s="879">
        <v>0</v>
      </c>
    </row>
    <row r="41" s="176" customFormat="1" ht="9.75">
      <c r="B41" s="209"/>
    </row>
    <row r="42" spans="1:11" s="176" customFormat="1" ht="15" thickBot="1">
      <c r="A42" s="222"/>
      <c r="B42" s="223" t="s">
        <v>279</v>
      </c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s="35" customFormat="1" ht="15">
      <c r="A43" s="1475" t="s">
        <v>9</v>
      </c>
      <c r="B43" s="1476"/>
      <c r="C43" s="1476"/>
      <c r="D43" s="1485"/>
      <c r="E43" s="356" t="s">
        <v>262</v>
      </c>
      <c r="F43" s="123" t="s">
        <v>262</v>
      </c>
      <c r="G43" s="51" t="s">
        <v>263</v>
      </c>
      <c r="H43" s="51" t="s">
        <v>216</v>
      </c>
      <c r="I43" s="139" t="s">
        <v>12</v>
      </c>
      <c r="J43" s="128" t="s">
        <v>12</v>
      </c>
      <c r="K43" s="127" t="s">
        <v>12</v>
      </c>
    </row>
    <row r="44" spans="1:11" s="35" customFormat="1" ht="11.25">
      <c r="A44" s="58"/>
      <c r="B44" s="1518"/>
      <c r="C44" s="1519"/>
      <c r="D44" s="1520"/>
      <c r="E44" s="357"/>
      <c r="F44" s="80"/>
      <c r="G44" s="125" t="s">
        <v>215</v>
      </c>
      <c r="H44" s="125" t="s">
        <v>217</v>
      </c>
      <c r="I44" s="140"/>
      <c r="J44" s="184" t="s">
        <v>320</v>
      </c>
      <c r="K44" s="184" t="s">
        <v>320</v>
      </c>
    </row>
    <row r="45" spans="1:11" s="35" customFormat="1" ht="15.75">
      <c r="A45" s="1466" t="s">
        <v>467</v>
      </c>
      <c r="B45" s="1468" t="s">
        <v>468</v>
      </c>
      <c r="C45" s="1468" t="s">
        <v>469</v>
      </c>
      <c r="D45" s="1470" t="s">
        <v>5</v>
      </c>
      <c r="E45" s="358" t="s">
        <v>272</v>
      </c>
      <c r="F45" s="124" t="s">
        <v>284</v>
      </c>
      <c r="G45" s="126">
        <v>2023</v>
      </c>
      <c r="H45" s="82" t="s">
        <v>332</v>
      </c>
      <c r="I45" s="141">
        <v>2024</v>
      </c>
      <c r="J45" s="130" t="s">
        <v>421</v>
      </c>
      <c r="K45" s="129">
        <v>2026</v>
      </c>
    </row>
    <row r="46" spans="1:11" s="35" customFormat="1" ht="12" thickBot="1">
      <c r="A46" s="1467"/>
      <c r="B46" s="1469"/>
      <c r="C46" s="1469"/>
      <c r="D46" s="1471"/>
      <c r="E46" s="359" t="s">
        <v>207</v>
      </c>
      <c r="F46" s="83" t="s">
        <v>207</v>
      </c>
      <c r="G46" s="84" t="s">
        <v>207</v>
      </c>
      <c r="H46" s="84" t="s">
        <v>207</v>
      </c>
      <c r="I46" s="142" t="s">
        <v>207</v>
      </c>
      <c r="J46" s="132" t="s">
        <v>207</v>
      </c>
      <c r="K46" s="131" t="s">
        <v>207</v>
      </c>
    </row>
    <row r="47" spans="1:11" s="35" customFormat="1" ht="12.75" customHeight="1" thickBot="1" thickTop="1">
      <c r="A47" s="759">
        <v>1</v>
      </c>
      <c r="B47" s="459" t="s">
        <v>280</v>
      </c>
      <c r="C47" s="738"/>
      <c r="D47" s="1096"/>
      <c r="E47" s="762">
        <f aca="true" t="shared" si="4" ref="E47:K47">E48</f>
        <v>16428.13</v>
      </c>
      <c r="F47" s="761">
        <f t="shared" si="4"/>
        <v>1029.8</v>
      </c>
      <c r="G47" s="762">
        <f t="shared" si="4"/>
        <v>0</v>
      </c>
      <c r="H47" s="762">
        <f t="shared" si="4"/>
        <v>0</v>
      </c>
      <c r="I47" s="762">
        <f t="shared" si="4"/>
        <v>0</v>
      </c>
      <c r="J47" s="762">
        <f t="shared" si="4"/>
        <v>0</v>
      </c>
      <c r="K47" s="762">
        <f t="shared" si="4"/>
        <v>0</v>
      </c>
    </row>
    <row r="48" spans="1:11" s="35" customFormat="1" ht="12.75" customHeight="1" thickTop="1">
      <c r="A48" s="774">
        <v>2</v>
      </c>
      <c r="B48" s="775">
        <v>1</v>
      </c>
      <c r="C48" s="776" t="s">
        <v>89</v>
      </c>
      <c r="D48" s="1097"/>
      <c r="E48" s="1098">
        <f aca="true" t="shared" si="5" ref="E48:K48">E49</f>
        <v>16428.13</v>
      </c>
      <c r="F48" s="1098">
        <f t="shared" si="5"/>
        <v>1029.8</v>
      </c>
      <c r="G48" s="1098">
        <f t="shared" si="5"/>
        <v>0</v>
      </c>
      <c r="H48" s="1098">
        <f t="shared" si="5"/>
        <v>0</v>
      </c>
      <c r="I48" s="1098">
        <f t="shared" si="5"/>
        <v>0</v>
      </c>
      <c r="J48" s="1098">
        <f t="shared" si="5"/>
        <v>0</v>
      </c>
      <c r="K48" s="1098">
        <f t="shared" si="5"/>
        <v>0</v>
      </c>
    </row>
    <row r="49" spans="1:11" s="35" customFormat="1" ht="12.75" customHeight="1">
      <c r="A49" s="774">
        <v>3</v>
      </c>
      <c r="B49" s="33" t="s">
        <v>197</v>
      </c>
      <c r="C49" s="1099" t="s">
        <v>161</v>
      </c>
      <c r="D49" s="1100"/>
      <c r="E49" s="1101">
        <f>E50+E52+E53</f>
        <v>16428.13</v>
      </c>
      <c r="F49" s="1101">
        <f aca="true" t="shared" si="6" ref="F49:K49">SUM(F50:F53)</f>
        <v>1029.8</v>
      </c>
      <c r="G49" s="1101">
        <f t="shared" si="6"/>
        <v>0</v>
      </c>
      <c r="H49" s="1101">
        <f t="shared" si="6"/>
        <v>0</v>
      </c>
      <c r="I49" s="1101">
        <f t="shared" si="6"/>
        <v>0</v>
      </c>
      <c r="J49" s="1101">
        <f t="shared" si="6"/>
        <v>0</v>
      </c>
      <c r="K49" s="1101">
        <f t="shared" si="6"/>
        <v>0</v>
      </c>
    </row>
    <row r="50" spans="1:12" s="176" customFormat="1" ht="46.5" customHeight="1">
      <c r="A50" s="1102" t="s">
        <v>7</v>
      </c>
      <c r="B50" s="471"/>
      <c r="C50" s="726" t="s">
        <v>222</v>
      </c>
      <c r="D50" s="1254" t="s">
        <v>716</v>
      </c>
      <c r="E50" s="1104">
        <v>7348.54</v>
      </c>
      <c r="F50" s="1104">
        <v>0</v>
      </c>
      <c r="G50" s="1104">
        <v>0</v>
      </c>
      <c r="H50" s="1104">
        <v>0</v>
      </c>
      <c r="I50" s="1104">
        <v>0</v>
      </c>
      <c r="J50" s="1104">
        <v>0</v>
      </c>
      <c r="K50" s="1105">
        <v>0</v>
      </c>
      <c r="L50" s="162"/>
    </row>
    <row r="51" spans="1:12" s="176" customFormat="1" ht="16.5" customHeight="1">
      <c r="A51" s="1102" t="s">
        <v>8</v>
      </c>
      <c r="B51" s="471"/>
      <c r="C51" s="726" t="s">
        <v>222</v>
      </c>
      <c r="D51" s="1103" t="s">
        <v>529</v>
      </c>
      <c r="E51" s="1104">
        <v>0</v>
      </c>
      <c r="F51" s="1104">
        <v>1029.8</v>
      </c>
      <c r="G51" s="1104">
        <v>0</v>
      </c>
      <c r="H51" s="1104">
        <v>0</v>
      </c>
      <c r="I51" s="1104">
        <v>0</v>
      </c>
      <c r="J51" s="1104">
        <v>0</v>
      </c>
      <c r="K51" s="1105">
        <v>0</v>
      </c>
      <c r="L51" s="162"/>
    </row>
    <row r="52" spans="1:11" s="35" customFormat="1" ht="24">
      <c r="A52" s="1102" t="s">
        <v>283</v>
      </c>
      <c r="B52" s="471"/>
      <c r="C52" s="726" t="s">
        <v>222</v>
      </c>
      <c r="D52" s="1103" t="s">
        <v>377</v>
      </c>
      <c r="E52" s="1104">
        <v>6000</v>
      </c>
      <c r="F52" s="1104">
        <v>0</v>
      </c>
      <c r="G52" s="1104">
        <v>0</v>
      </c>
      <c r="H52" s="1104">
        <v>0</v>
      </c>
      <c r="I52" s="1104">
        <v>0</v>
      </c>
      <c r="J52" s="1104">
        <v>0</v>
      </c>
      <c r="K52" s="1105">
        <v>0</v>
      </c>
    </row>
    <row r="53" spans="1:11" s="35" customFormat="1" ht="24.75" thickBot="1">
      <c r="A53" s="1106" t="s">
        <v>68</v>
      </c>
      <c r="B53" s="1021"/>
      <c r="C53" s="735" t="s">
        <v>222</v>
      </c>
      <c r="D53" s="1041" t="s">
        <v>378</v>
      </c>
      <c r="E53" s="1107">
        <v>3079.59</v>
      </c>
      <c r="F53" s="1107">
        <v>0</v>
      </c>
      <c r="G53" s="1107">
        <v>0</v>
      </c>
      <c r="H53" s="1107">
        <v>0</v>
      </c>
      <c r="I53" s="1107">
        <v>0</v>
      </c>
      <c r="J53" s="1107">
        <v>0</v>
      </c>
      <c r="K53" s="1108">
        <v>0</v>
      </c>
    </row>
    <row r="54" spans="1:11" s="35" customFormat="1" ht="9.75">
      <c r="A54" s="29"/>
      <c r="B54" s="60"/>
      <c r="C54" s="73"/>
      <c r="D54" s="73"/>
      <c r="E54" s="73"/>
      <c r="F54" s="73"/>
      <c r="G54" s="73"/>
      <c r="H54" s="73"/>
      <c r="I54" s="73"/>
      <c r="J54" s="73"/>
      <c r="K54" s="73"/>
    </row>
    <row r="55" spans="1:11" s="35" customFormat="1" ht="9.75">
      <c r="A55" s="29"/>
      <c r="B55" s="60"/>
      <c r="C55" s="73"/>
      <c r="D55" s="73"/>
      <c r="E55" s="73"/>
      <c r="F55" s="73"/>
      <c r="G55" s="73"/>
      <c r="H55" s="73"/>
      <c r="I55" s="73"/>
      <c r="J55" s="73"/>
      <c r="K55" s="73"/>
    </row>
    <row r="56" spans="1:11" s="35" customFormat="1" ht="9.75">
      <c r="A56" s="29"/>
      <c r="B56" s="60"/>
      <c r="C56" s="73"/>
      <c r="D56" s="73"/>
      <c r="E56" s="73"/>
      <c r="F56" s="73"/>
      <c r="G56" s="73"/>
      <c r="H56" s="73"/>
      <c r="I56" s="73"/>
      <c r="J56" s="73"/>
      <c r="K56" s="73"/>
    </row>
    <row r="57" spans="1:2" s="35" customFormat="1" ht="9.75">
      <c r="A57" s="29"/>
      <c r="B57" s="60"/>
    </row>
    <row r="58" spans="1:2" s="35" customFormat="1" ht="9.75">
      <c r="A58" s="29"/>
      <c r="B58" s="60"/>
    </row>
    <row r="59" spans="4:6" s="121" customFormat="1" ht="12.75">
      <c r="D59" s="214"/>
      <c r="E59" s="210"/>
      <c r="F59" s="210"/>
    </row>
    <row r="60" spans="4:6" ht="12.75">
      <c r="D60" s="208"/>
      <c r="E60" s="199"/>
      <c r="F60" s="199"/>
    </row>
    <row r="61" spans="4:6" ht="12.75">
      <c r="D61" s="207"/>
      <c r="E61" s="207"/>
      <c r="F61" s="207"/>
    </row>
  </sheetData>
  <sheetProtection/>
  <mergeCells count="12">
    <mergeCell ref="A45:A46"/>
    <mergeCell ref="B45:B46"/>
    <mergeCell ref="C45:C46"/>
    <mergeCell ref="D45:D46"/>
    <mergeCell ref="A2:D2"/>
    <mergeCell ref="B3:D3"/>
    <mergeCell ref="A43:D43"/>
    <mergeCell ref="B44:D44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9.140625" style="0" bestFit="1" customWidth="1"/>
    <col min="4" max="4" width="10.28125" style="0" bestFit="1" customWidth="1"/>
    <col min="5" max="5" width="8.8515625" style="0" bestFit="1" customWidth="1"/>
    <col min="6" max="6" width="10.140625" style="0" bestFit="1" customWidth="1"/>
    <col min="7" max="9" width="8.421875" style="0" bestFit="1" customWidth="1"/>
    <col min="10" max="10" width="9.140625" style="0" customWidth="1"/>
    <col min="11" max="11" width="1.8515625" style="0" customWidth="1"/>
  </cols>
  <sheetData>
    <row r="1" spans="1:9" s="35" customFormat="1" ht="9.75">
      <c r="A1" s="29"/>
      <c r="B1" s="73"/>
      <c r="C1" s="73"/>
      <c r="D1" s="73"/>
      <c r="E1" s="73"/>
      <c r="F1" s="73"/>
      <c r="G1" s="73"/>
      <c r="H1" s="73"/>
      <c r="I1" s="73"/>
    </row>
    <row r="2" s="35" customFormat="1" ht="9.75">
      <c r="A2" s="29"/>
    </row>
    <row r="3" s="35" customFormat="1" ht="9.75">
      <c r="A3" s="29"/>
    </row>
    <row r="4" spans="1:9" s="176" customFormat="1" ht="21">
      <c r="A4" s="209"/>
      <c r="B4" s="1311" t="s">
        <v>703</v>
      </c>
      <c r="C4" s="1311" t="s">
        <v>366</v>
      </c>
      <c r="D4" s="1312" t="s">
        <v>514</v>
      </c>
      <c r="E4" s="1523" t="s">
        <v>515</v>
      </c>
      <c r="F4" s="1523"/>
      <c r="G4" s="1523"/>
      <c r="H4" s="1523"/>
      <c r="I4" s="1523"/>
    </row>
    <row r="5" spans="1:9" s="176" customFormat="1" ht="38.25" customHeight="1">
      <c r="A5" s="209"/>
      <c r="B5" s="1306" t="s">
        <v>365</v>
      </c>
      <c r="C5" s="1315">
        <v>30000</v>
      </c>
      <c r="D5" s="1307">
        <v>0</v>
      </c>
      <c r="E5" s="1524" t="s">
        <v>781</v>
      </c>
      <c r="F5" s="1524"/>
      <c r="G5" s="1524"/>
      <c r="H5" s="1524"/>
      <c r="I5" s="1524"/>
    </row>
    <row r="6" spans="2:9" s="121" customFormat="1" ht="12.75">
      <c r="B6" s="1306" t="s">
        <v>708</v>
      </c>
      <c r="C6" s="1315">
        <v>10000</v>
      </c>
      <c r="D6" s="1307">
        <v>0</v>
      </c>
      <c r="E6" s="1524" t="s">
        <v>709</v>
      </c>
      <c r="F6" s="1524"/>
      <c r="G6" s="1524"/>
      <c r="H6" s="1524"/>
      <c r="I6" s="1524"/>
    </row>
    <row r="7" spans="2:9" s="121" customFormat="1" ht="25.5" customHeight="1">
      <c r="B7" s="1314" t="s">
        <v>704</v>
      </c>
      <c r="C7" s="1315">
        <v>2500</v>
      </c>
      <c r="D7" s="1307">
        <v>0</v>
      </c>
      <c r="E7" s="1524" t="s">
        <v>705</v>
      </c>
      <c r="F7" s="1524"/>
      <c r="G7" s="1524"/>
      <c r="H7" s="1524"/>
      <c r="I7" s="1524"/>
    </row>
    <row r="8" spans="2:9" s="121" customFormat="1" ht="51" customHeight="1">
      <c r="B8" s="1314" t="s">
        <v>706</v>
      </c>
      <c r="C8" s="1316">
        <v>3000</v>
      </c>
      <c r="D8" s="1308">
        <v>0</v>
      </c>
      <c r="E8" s="1525" t="s">
        <v>707</v>
      </c>
      <c r="F8" s="1525"/>
      <c r="G8" s="1525"/>
      <c r="H8" s="1525"/>
      <c r="I8" s="1525"/>
    </row>
    <row r="9" spans="2:9" s="121" customFormat="1" ht="24" customHeight="1">
      <c r="B9" s="1309"/>
      <c r="C9" s="1310">
        <f>SUM(C5:C8)</f>
        <v>45500</v>
      </c>
      <c r="D9" s="1310">
        <f>SUM(D5:D8)</f>
        <v>0</v>
      </c>
      <c r="E9" s="1313"/>
      <c r="F9" s="1313"/>
      <c r="G9" s="1313"/>
      <c r="H9" s="1313"/>
      <c r="I9" s="1313"/>
    </row>
    <row r="10" spans="2:4" s="121" customFormat="1" ht="13.5">
      <c r="B10" s="212"/>
      <c r="C10" s="211"/>
      <c r="D10" s="211"/>
    </row>
    <row r="11" spans="2:4" s="121" customFormat="1" ht="13.5">
      <c r="B11" s="212"/>
      <c r="C11" s="211"/>
      <c r="D11" s="211"/>
    </row>
    <row r="12" spans="2:4" s="121" customFormat="1" ht="13.5">
      <c r="B12" s="212"/>
      <c r="C12" s="211"/>
      <c r="D12" s="211"/>
    </row>
    <row r="13" spans="2:4" s="121" customFormat="1" ht="12.75">
      <c r="B13" s="213"/>
      <c r="C13" s="210"/>
      <c r="D13" s="210"/>
    </row>
    <row r="14" spans="2:4" s="121" customFormat="1" ht="12.75">
      <c r="B14" s="214"/>
      <c r="C14" s="210"/>
      <c r="D14" s="210"/>
    </row>
    <row r="15" spans="2:4" ht="12.75">
      <c r="B15" s="208"/>
      <c r="C15" s="199"/>
      <c r="D15" s="199"/>
    </row>
    <row r="16" spans="2:4" ht="12.75">
      <c r="B16" s="207"/>
      <c r="C16" s="207"/>
      <c r="D16" s="207"/>
    </row>
  </sheetData>
  <sheetProtection/>
  <mergeCells count="5">
    <mergeCell ref="E4:I4"/>
    <mergeCell ref="E5:I5"/>
    <mergeCell ref="E6:I6"/>
    <mergeCell ref="E7:I7"/>
    <mergeCell ref="E8:I8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6"/>
  <sheetViews>
    <sheetView zoomScale="160" zoomScaleNormal="160" zoomScalePageLayoutView="0" workbookViewId="0" topLeftCell="A1">
      <pane ySplit="5" topLeftCell="A54" activePane="bottomLeft" state="frozen"/>
      <selection pane="topLeft" activeCell="A1" sqref="A1"/>
      <selection pane="bottomLeft" activeCell="M52" sqref="M52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28125" style="0" customWidth="1"/>
    <col min="4" max="4" width="29.421875" style="0" customWidth="1"/>
    <col min="5" max="11" width="10.421875" style="0" bestFit="1" customWidth="1"/>
    <col min="13" max="13" width="10.140625" style="0" bestFit="1" customWidth="1"/>
  </cols>
  <sheetData>
    <row r="1" spans="1:2" ht="15" thickBot="1">
      <c r="A1" s="15"/>
      <c r="B1" s="85" t="s">
        <v>236</v>
      </c>
    </row>
    <row r="2" spans="1:11" ht="15">
      <c r="A2" s="1464" t="s">
        <v>10</v>
      </c>
      <c r="B2" s="1465"/>
      <c r="C2" s="1465"/>
      <c r="D2" s="1528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58"/>
      <c r="B3" s="1518"/>
      <c r="C3" s="1519"/>
      <c r="D3" s="1520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s="121" customFormat="1" ht="14.25" thickBot="1" thickTop="1">
      <c r="A6" s="1257">
        <v>1</v>
      </c>
      <c r="B6" s="459" t="s">
        <v>111</v>
      </c>
      <c r="C6" s="738"/>
      <c r="D6" s="856"/>
      <c r="E6" s="1137">
        <f>E7+E11+E17+E23+E38</f>
        <v>126962.24000000002</v>
      </c>
      <c r="F6" s="1137">
        <f>F7+F11+F17+F23+F38</f>
        <v>148251.65000000002</v>
      </c>
      <c r="G6" s="1137">
        <f>G7+G11+G17+G23+G38-0.01</f>
        <v>168434.34999999998</v>
      </c>
      <c r="H6" s="1137">
        <f>H7+H11+H17+H23+H38</f>
        <v>172262.86</v>
      </c>
      <c r="I6" s="1137">
        <f>I7+I11+I17+I23+I38</f>
        <v>189161.65</v>
      </c>
      <c r="J6" s="1137">
        <f>J7+J11+J17+J23+J38</f>
        <v>198657.65</v>
      </c>
      <c r="K6" s="1137">
        <f>K7+K11+K17+K23+K38</f>
        <v>208404.15</v>
      </c>
    </row>
    <row r="7" spans="1:11" s="121" customFormat="1" ht="13.5" thickTop="1">
      <c r="A7" s="1258">
        <v>2</v>
      </c>
      <c r="B7" s="457">
        <v>1</v>
      </c>
      <c r="C7" s="478" t="s">
        <v>69</v>
      </c>
      <c r="D7" s="1138"/>
      <c r="E7" s="1139">
        <f aca="true" t="shared" si="0" ref="E7:K7">E8</f>
        <v>7105.93</v>
      </c>
      <c r="F7" s="1139">
        <f t="shared" si="0"/>
        <v>12698.900000000001</v>
      </c>
      <c r="G7" s="1139">
        <f t="shared" si="0"/>
        <v>18620</v>
      </c>
      <c r="H7" s="1139">
        <f t="shared" si="0"/>
        <v>20200</v>
      </c>
      <c r="I7" s="1139">
        <f t="shared" si="0"/>
        <v>19000</v>
      </c>
      <c r="J7" s="1139">
        <f t="shared" si="0"/>
        <v>18700</v>
      </c>
      <c r="K7" s="1139">
        <f t="shared" si="0"/>
        <v>19000</v>
      </c>
    </row>
    <row r="8" spans="1:13" s="121" customFormat="1" ht="12.75">
      <c r="A8" s="1258">
        <v>3</v>
      </c>
      <c r="B8" s="486" t="s">
        <v>142</v>
      </c>
      <c r="C8" s="1140" t="s">
        <v>204</v>
      </c>
      <c r="D8" s="1141"/>
      <c r="E8" s="158">
        <f>E9+E10</f>
        <v>7105.93</v>
      </c>
      <c r="F8" s="158">
        <f>F9+F10</f>
        <v>12698.900000000001</v>
      </c>
      <c r="G8" s="158">
        <f>G9+G10</f>
        <v>18620</v>
      </c>
      <c r="H8" s="158">
        <f>SUM(H9:H10)</f>
        <v>20200</v>
      </c>
      <c r="I8" s="158">
        <f>SUM(I9:I10)</f>
        <v>19000</v>
      </c>
      <c r="J8" s="158">
        <f>SUM(J9:J10)</f>
        <v>18700</v>
      </c>
      <c r="K8" s="158">
        <f>SUM(K9:K10)</f>
        <v>19000</v>
      </c>
      <c r="M8" s="170"/>
    </row>
    <row r="9" spans="1:11" s="121" customFormat="1" ht="12.75">
      <c r="A9" s="1258">
        <v>4</v>
      </c>
      <c r="B9" s="727"/>
      <c r="C9" s="905" t="s">
        <v>218</v>
      </c>
      <c r="D9" s="1142" t="s">
        <v>48</v>
      </c>
      <c r="E9" s="1105">
        <v>6806.56</v>
      </c>
      <c r="F9" s="1105">
        <v>8922.11</v>
      </c>
      <c r="G9" s="1105">
        <v>18120</v>
      </c>
      <c r="H9" s="1105">
        <v>18200</v>
      </c>
      <c r="I9" s="1105">
        <v>18200</v>
      </c>
      <c r="J9" s="1105">
        <v>18200</v>
      </c>
      <c r="K9" s="1105">
        <v>18200</v>
      </c>
    </row>
    <row r="10" spans="1:11" s="121" customFormat="1" ht="12.75">
      <c r="A10" s="1258">
        <v>5</v>
      </c>
      <c r="B10" s="727"/>
      <c r="C10" s="1005" t="s">
        <v>218</v>
      </c>
      <c r="D10" s="1143" t="s">
        <v>576</v>
      </c>
      <c r="E10" s="1105">
        <v>299.37</v>
      </c>
      <c r="F10" s="1105">
        <v>3776.79</v>
      </c>
      <c r="G10" s="1105">
        <v>500</v>
      </c>
      <c r="H10" s="1105">
        <v>2000</v>
      </c>
      <c r="I10" s="1105">
        <v>800</v>
      </c>
      <c r="J10" s="1105">
        <v>500</v>
      </c>
      <c r="K10" s="1105">
        <v>800</v>
      </c>
    </row>
    <row r="11" spans="1:11" s="121" customFormat="1" ht="12.75">
      <c r="A11" s="1258">
        <v>6</v>
      </c>
      <c r="B11" s="483">
        <v>2</v>
      </c>
      <c r="C11" s="484" t="s">
        <v>90</v>
      </c>
      <c r="D11" s="858"/>
      <c r="E11" s="1144">
        <f aca="true" t="shared" si="1" ref="E11:K11">E12</f>
        <v>1724.3999999999999</v>
      </c>
      <c r="F11" s="1144">
        <f t="shared" si="1"/>
        <v>5013.2</v>
      </c>
      <c r="G11" s="1144">
        <f t="shared" si="1"/>
        <v>2542</v>
      </c>
      <c r="H11" s="1144">
        <f t="shared" si="1"/>
        <v>2537</v>
      </c>
      <c r="I11" s="1144">
        <f t="shared" si="1"/>
        <v>2716.15</v>
      </c>
      <c r="J11" s="1144">
        <f t="shared" si="1"/>
        <v>2716.15</v>
      </c>
      <c r="K11" s="1144">
        <f t="shared" si="1"/>
        <v>2716.15</v>
      </c>
    </row>
    <row r="12" spans="1:11" s="121" customFormat="1" ht="12.75">
      <c r="A12" s="1258">
        <v>7</v>
      </c>
      <c r="B12" s="724" t="s">
        <v>143</v>
      </c>
      <c r="C12" s="1130" t="s">
        <v>0</v>
      </c>
      <c r="D12" s="1131"/>
      <c r="E12" s="158">
        <f>E13+E14+E15+E16</f>
        <v>1724.3999999999999</v>
      </c>
      <c r="F12" s="158">
        <f>F13+F14+F15+F16</f>
        <v>5013.2</v>
      </c>
      <c r="G12" s="158">
        <f>G13+G14+G15+G16</f>
        <v>2542</v>
      </c>
      <c r="H12" s="158">
        <f>SUM(H13:H16)</f>
        <v>2537</v>
      </c>
      <c r="I12" s="158">
        <f>SUM(I13:I16)</f>
        <v>2716.15</v>
      </c>
      <c r="J12" s="158">
        <f>SUM(J13:J16)</f>
        <v>2716.15</v>
      </c>
      <c r="K12" s="158">
        <f>SUM(K13:K16)</f>
        <v>2716.15</v>
      </c>
    </row>
    <row r="13" spans="1:11" s="121" customFormat="1" ht="12.75">
      <c r="A13" s="1258">
        <v>8</v>
      </c>
      <c r="B13" s="471"/>
      <c r="C13" s="726" t="s">
        <v>218</v>
      </c>
      <c r="D13" s="1145" t="s">
        <v>112</v>
      </c>
      <c r="E13" s="1105">
        <v>1528.8</v>
      </c>
      <c r="F13" s="1105">
        <v>1786.8</v>
      </c>
      <c r="G13" s="1105">
        <v>1787</v>
      </c>
      <c r="H13" s="1105">
        <v>1787</v>
      </c>
      <c r="I13" s="1105">
        <v>1932</v>
      </c>
      <c r="J13" s="1105">
        <v>1932</v>
      </c>
      <c r="K13" s="1105">
        <v>1932</v>
      </c>
    </row>
    <row r="14" spans="1:11" s="121" customFormat="1" ht="12.75">
      <c r="A14" s="1258">
        <v>9</v>
      </c>
      <c r="B14" s="904"/>
      <c r="C14" s="728" t="s">
        <v>218</v>
      </c>
      <c r="D14" s="1145" t="s">
        <v>607</v>
      </c>
      <c r="E14" s="1105">
        <v>91.05</v>
      </c>
      <c r="F14" s="1105">
        <v>87</v>
      </c>
      <c r="G14" s="1105">
        <v>150</v>
      </c>
      <c r="H14" s="1105">
        <v>150</v>
      </c>
      <c r="I14" s="1105">
        <f>'Bežné príjmy'!K80</f>
        <v>234.15</v>
      </c>
      <c r="J14" s="1105">
        <f>'Bežné príjmy'!L80</f>
        <v>234.15</v>
      </c>
      <c r="K14" s="1105">
        <f>'Bežné príjmy'!M80</f>
        <v>234.15</v>
      </c>
    </row>
    <row r="15" spans="1:11" s="121" customFormat="1" ht="12.75">
      <c r="A15" s="1258">
        <v>10</v>
      </c>
      <c r="B15" s="904"/>
      <c r="C15" s="728" t="s">
        <v>218</v>
      </c>
      <c r="D15" s="1145" t="s">
        <v>606</v>
      </c>
      <c r="E15" s="1105">
        <v>104.55</v>
      </c>
      <c r="F15" s="1105">
        <v>117.4</v>
      </c>
      <c r="G15" s="1105">
        <f>78.82+26.18</f>
        <v>105</v>
      </c>
      <c r="H15" s="1105">
        <v>100</v>
      </c>
      <c r="I15" s="1105">
        <v>50</v>
      </c>
      <c r="J15" s="1105">
        <v>50</v>
      </c>
      <c r="K15" s="1105">
        <v>50</v>
      </c>
    </row>
    <row r="16" spans="1:13" s="121" customFormat="1" ht="36">
      <c r="A16" s="1264" t="s">
        <v>478</v>
      </c>
      <c r="B16" s="471"/>
      <c r="C16" s="726" t="s">
        <v>218</v>
      </c>
      <c r="D16" s="1146" t="s">
        <v>481</v>
      </c>
      <c r="E16" s="1105">
        <v>0</v>
      </c>
      <c r="F16" s="1105">
        <v>3022</v>
      </c>
      <c r="G16" s="1105">
        <v>500</v>
      </c>
      <c r="H16" s="1105">
        <v>500</v>
      </c>
      <c r="I16" s="1302">
        <v>500</v>
      </c>
      <c r="J16" s="1105">
        <v>500</v>
      </c>
      <c r="K16" s="1105">
        <v>500</v>
      </c>
      <c r="L16" s="162" t="s">
        <v>766</v>
      </c>
      <c r="M16" s="178"/>
    </row>
    <row r="17" spans="1:11" s="121" customFormat="1" ht="12.75">
      <c r="A17" s="1258">
        <v>12</v>
      </c>
      <c r="B17" s="483">
        <v>3</v>
      </c>
      <c r="C17" s="484" t="s">
        <v>91</v>
      </c>
      <c r="D17" s="858"/>
      <c r="E17" s="1144">
        <f aca="true" t="shared" si="2" ref="E17:K17">E18</f>
        <v>33556.51</v>
      </c>
      <c r="F17" s="1144">
        <f t="shared" si="2"/>
        <v>30984.079999999998</v>
      </c>
      <c r="G17" s="1144">
        <f t="shared" si="2"/>
        <v>37756.86</v>
      </c>
      <c r="H17" s="1144">
        <f t="shared" si="2"/>
        <v>37756.86</v>
      </c>
      <c r="I17" s="1144">
        <f t="shared" si="2"/>
        <v>40885</v>
      </c>
      <c r="J17" s="1144">
        <f t="shared" si="2"/>
        <v>44933.5</v>
      </c>
      <c r="K17" s="1144">
        <f t="shared" si="2"/>
        <v>47632.5</v>
      </c>
    </row>
    <row r="18" spans="1:11" s="121" customFormat="1" ht="12.75">
      <c r="A18" s="1258">
        <v>13</v>
      </c>
      <c r="B18" s="479" t="s">
        <v>141</v>
      </c>
      <c r="C18" s="1140" t="s">
        <v>113</v>
      </c>
      <c r="D18" s="1131"/>
      <c r="E18" s="1147">
        <f>E19+E20+E21+E22</f>
        <v>33556.51</v>
      </c>
      <c r="F18" s="1147">
        <f>F19+F20+F21+F22</f>
        <v>30984.079999999998</v>
      </c>
      <c r="G18" s="1147">
        <f>G19+G20+G21+G22</f>
        <v>37756.86</v>
      </c>
      <c r="H18" s="1147">
        <f>SUM(H19:H22)</f>
        <v>37756.86</v>
      </c>
      <c r="I18" s="1147">
        <f>SUM(I19:I22)</f>
        <v>40885</v>
      </c>
      <c r="J18" s="1147">
        <f>SUM(J19:J22)</f>
        <v>44933.5</v>
      </c>
      <c r="K18" s="1147">
        <f>SUM(K19:K22)</f>
        <v>47632.5</v>
      </c>
    </row>
    <row r="19" spans="1:11" s="121" customFormat="1" ht="24">
      <c r="A19" s="1258">
        <v>14</v>
      </c>
      <c r="B19" s="904"/>
      <c r="C19" s="1148" t="s">
        <v>233</v>
      </c>
      <c r="D19" s="1161" t="s">
        <v>609</v>
      </c>
      <c r="E19" s="1150">
        <v>24993.16</v>
      </c>
      <c r="F19" s="1150">
        <v>22726.89</v>
      </c>
      <c r="G19" s="1150">
        <v>27682</v>
      </c>
      <c r="H19" s="1150">
        <v>27682</v>
      </c>
      <c r="I19" s="1150">
        <v>30000</v>
      </c>
      <c r="J19" s="1150">
        <v>33000</v>
      </c>
      <c r="K19" s="1150">
        <v>35000</v>
      </c>
    </row>
    <row r="20" spans="1:14" s="121" customFormat="1" ht="24">
      <c r="A20" s="1258">
        <v>15</v>
      </c>
      <c r="B20" s="904"/>
      <c r="C20" s="1148" t="s">
        <v>234</v>
      </c>
      <c r="D20" s="1161" t="s">
        <v>608</v>
      </c>
      <c r="E20" s="1150">
        <v>8463.35</v>
      </c>
      <c r="F20" s="1150">
        <v>7857.19</v>
      </c>
      <c r="G20" s="1150">
        <v>9674.86</v>
      </c>
      <c r="H20" s="1150">
        <v>9674.86</v>
      </c>
      <c r="I20" s="1150">
        <f>I19*0.3495</f>
        <v>10485</v>
      </c>
      <c r="J20" s="1150">
        <f>J19*0.3495</f>
        <v>11533.5</v>
      </c>
      <c r="K20" s="1150">
        <f>K19*0.3495</f>
        <v>12232.5</v>
      </c>
      <c r="N20" s="178"/>
    </row>
    <row r="21" spans="1:11" s="121" customFormat="1" ht="12.75">
      <c r="A21" s="1258">
        <v>16</v>
      </c>
      <c r="B21" s="904"/>
      <c r="C21" s="1148" t="s">
        <v>218</v>
      </c>
      <c r="D21" s="1149" t="s">
        <v>169</v>
      </c>
      <c r="E21" s="1150">
        <v>0</v>
      </c>
      <c r="F21" s="1150">
        <v>343.45</v>
      </c>
      <c r="G21" s="1150">
        <v>200</v>
      </c>
      <c r="H21" s="1150">
        <v>100</v>
      </c>
      <c r="I21" s="1150">
        <v>200</v>
      </c>
      <c r="J21" s="1150">
        <v>200</v>
      </c>
      <c r="K21" s="1150">
        <v>200</v>
      </c>
    </row>
    <row r="22" spans="1:11" s="121" customFormat="1" ht="24">
      <c r="A22" s="1258">
        <v>17</v>
      </c>
      <c r="B22" s="904"/>
      <c r="C22" s="1093" t="s">
        <v>218</v>
      </c>
      <c r="D22" s="1161" t="s">
        <v>298</v>
      </c>
      <c r="E22" s="1150">
        <v>100</v>
      </c>
      <c r="F22" s="1150">
        <v>56.55</v>
      </c>
      <c r="G22" s="1150">
        <v>200</v>
      </c>
      <c r="H22" s="1150">
        <v>300</v>
      </c>
      <c r="I22" s="1150">
        <v>200</v>
      </c>
      <c r="J22" s="1150">
        <v>200</v>
      </c>
      <c r="K22" s="1150">
        <v>200</v>
      </c>
    </row>
    <row r="23" spans="1:11" s="121" customFormat="1" ht="12.75">
      <c r="A23" s="1258">
        <v>18</v>
      </c>
      <c r="B23" s="457">
        <v>4</v>
      </c>
      <c r="C23" s="478" t="s">
        <v>299</v>
      </c>
      <c r="D23" s="1138"/>
      <c r="E23" s="1151">
        <f aca="true" t="shared" si="3" ref="E23:K23">E24</f>
        <v>84575.40000000001</v>
      </c>
      <c r="F23" s="1151">
        <f t="shared" si="3"/>
        <v>99406.15000000002</v>
      </c>
      <c r="G23" s="1151">
        <f t="shared" si="3"/>
        <v>109515.5</v>
      </c>
      <c r="H23" s="1151">
        <f t="shared" si="3"/>
        <v>111769</v>
      </c>
      <c r="I23" s="1151">
        <f t="shared" si="3"/>
        <v>126560.5</v>
      </c>
      <c r="J23" s="1151">
        <f t="shared" si="3"/>
        <v>132308</v>
      </c>
      <c r="K23" s="1151">
        <f t="shared" si="3"/>
        <v>139055.5</v>
      </c>
    </row>
    <row r="24" spans="1:11" s="121" customFormat="1" ht="12.75">
      <c r="A24" s="1258">
        <v>19</v>
      </c>
      <c r="B24" s="724" t="s">
        <v>144</v>
      </c>
      <c r="C24" s="1130" t="s">
        <v>49</v>
      </c>
      <c r="D24" s="1131"/>
      <c r="E24" s="158">
        <f aca="true" t="shared" si="4" ref="E24:K24">SUM(E25:E37)</f>
        <v>84575.40000000001</v>
      </c>
      <c r="F24" s="158">
        <f t="shared" si="4"/>
        <v>99406.15000000002</v>
      </c>
      <c r="G24" s="158">
        <f t="shared" si="4"/>
        <v>109515.5</v>
      </c>
      <c r="H24" s="158">
        <f t="shared" si="4"/>
        <v>111769</v>
      </c>
      <c r="I24" s="158">
        <f t="shared" si="4"/>
        <v>126560.5</v>
      </c>
      <c r="J24" s="158">
        <f t="shared" si="4"/>
        <v>132308</v>
      </c>
      <c r="K24" s="158">
        <f t="shared" si="4"/>
        <v>139055.5</v>
      </c>
    </row>
    <row r="25" spans="1:16" s="121" customFormat="1" ht="36">
      <c r="A25" s="1258">
        <v>20</v>
      </c>
      <c r="B25" s="727"/>
      <c r="C25" s="726" t="s">
        <v>233</v>
      </c>
      <c r="D25" s="1152" t="s">
        <v>352</v>
      </c>
      <c r="E25" s="1105">
        <v>51161.78</v>
      </c>
      <c r="F25" s="1105">
        <v>56631.26</v>
      </c>
      <c r="G25" s="1105">
        <v>65000</v>
      </c>
      <c r="H25" s="1105">
        <v>64000</v>
      </c>
      <c r="I25" s="1105">
        <v>75000</v>
      </c>
      <c r="J25" s="1105">
        <v>80000</v>
      </c>
      <c r="K25" s="1105">
        <v>85000</v>
      </c>
      <c r="L25" s="177"/>
      <c r="M25" s="143"/>
      <c r="N25" s="178"/>
      <c r="O25" s="143"/>
      <c r="P25" s="143"/>
    </row>
    <row r="26" spans="1:16" s="121" customFormat="1" ht="12.75">
      <c r="A26" s="1258">
        <v>21</v>
      </c>
      <c r="B26" s="727"/>
      <c r="C26" s="726" t="s">
        <v>234</v>
      </c>
      <c r="D26" s="1149" t="s">
        <v>209</v>
      </c>
      <c r="E26" s="1105">
        <v>16628.6</v>
      </c>
      <c r="F26" s="1105">
        <v>19472.17</v>
      </c>
      <c r="G26" s="1105">
        <v>22717.5</v>
      </c>
      <c r="H26" s="1105">
        <v>22368</v>
      </c>
      <c r="I26" s="1105">
        <f>I25*0.3495</f>
        <v>26212.5</v>
      </c>
      <c r="J26" s="1105">
        <f>J25*0.3495</f>
        <v>27960</v>
      </c>
      <c r="K26" s="1105">
        <f>K25*0.3495</f>
        <v>29707.499999999996</v>
      </c>
      <c r="L26" s="143"/>
      <c r="M26" s="143"/>
      <c r="N26" s="143"/>
      <c r="O26" s="143"/>
      <c r="P26" s="143"/>
    </row>
    <row r="27" spans="1:16" s="121" customFormat="1" ht="24">
      <c r="A27" s="1258">
        <v>22</v>
      </c>
      <c r="B27" s="727"/>
      <c r="C27" s="726" t="s">
        <v>218</v>
      </c>
      <c r="D27" s="1161" t="s">
        <v>464</v>
      </c>
      <c r="E27" s="1105">
        <v>3652.6</v>
      </c>
      <c r="F27" s="1105">
        <v>3835.5</v>
      </c>
      <c r="G27" s="1105">
        <v>4000</v>
      </c>
      <c r="H27" s="1105">
        <v>4000</v>
      </c>
      <c r="I27" s="1105">
        <v>4000</v>
      </c>
      <c r="J27" s="1105">
        <v>4000</v>
      </c>
      <c r="K27" s="1105">
        <v>4000</v>
      </c>
      <c r="L27" s="143"/>
      <c r="M27" s="143"/>
      <c r="N27" s="143"/>
      <c r="O27" s="143"/>
      <c r="P27" s="143"/>
    </row>
    <row r="28" spans="1:11" s="121" customFormat="1" ht="24">
      <c r="A28" s="1258">
        <v>23</v>
      </c>
      <c r="B28" s="727"/>
      <c r="C28" s="726" t="s">
        <v>234</v>
      </c>
      <c r="D28" s="1161" t="s">
        <v>297</v>
      </c>
      <c r="E28" s="1105">
        <v>1212.9</v>
      </c>
      <c r="F28" s="1105">
        <v>1297.27</v>
      </c>
      <c r="G28" s="1105">
        <v>1398</v>
      </c>
      <c r="H28" s="1105">
        <v>1398</v>
      </c>
      <c r="I28" s="1105">
        <f>I27*0.3495</f>
        <v>1398</v>
      </c>
      <c r="J28" s="1105">
        <f>J27*0.3495</f>
        <v>1398</v>
      </c>
      <c r="K28" s="1105">
        <f>K27*0.3495</f>
        <v>1398</v>
      </c>
    </row>
    <row r="29" spans="1:11" s="121" customFormat="1" ht="12.75">
      <c r="A29" s="1258">
        <v>24</v>
      </c>
      <c r="B29" s="727"/>
      <c r="C29" s="726" t="s">
        <v>218</v>
      </c>
      <c r="D29" s="1149" t="s">
        <v>205</v>
      </c>
      <c r="E29" s="1105">
        <v>2939.7</v>
      </c>
      <c r="F29" s="1105">
        <v>5532.97</v>
      </c>
      <c r="G29" s="1105">
        <v>3500</v>
      </c>
      <c r="H29" s="1105">
        <v>5500</v>
      </c>
      <c r="I29" s="1105">
        <v>5000</v>
      </c>
      <c r="J29" s="1105">
        <v>5000</v>
      </c>
      <c r="K29" s="1105">
        <v>5000</v>
      </c>
    </row>
    <row r="30" spans="1:11" s="121" customFormat="1" ht="12.75">
      <c r="A30" s="1258">
        <v>25</v>
      </c>
      <c r="B30" s="727"/>
      <c r="C30" s="726" t="s">
        <v>218</v>
      </c>
      <c r="D30" s="1149" t="s">
        <v>351</v>
      </c>
      <c r="E30" s="1105">
        <v>2077.44</v>
      </c>
      <c r="F30" s="1105">
        <v>2878.72</v>
      </c>
      <c r="G30" s="1105">
        <v>2800</v>
      </c>
      <c r="H30" s="1105">
        <v>2800</v>
      </c>
      <c r="I30" s="1105">
        <v>2800</v>
      </c>
      <c r="J30" s="1105">
        <v>2800</v>
      </c>
      <c r="K30" s="1105">
        <v>2800</v>
      </c>
    </row>
    <row r="31" spans="1:11" s="121" customFormat="1" ht="12.75">
      <c r="A31" s="1258">
        <v>26</v>
      </c>
      <c r="B31" s="727"/>
      <c r="C31" s="726" t="s">
        <v>218</v>
      </c>
      <c r="D31" s="1149" t="s">
        <v>350</v>
      </c>
      <c r="E31" s="1105">
        <v>404.75</v>
      </c>
      <c r="F31" s="1105">
        <v>450.41</v>
      </c>
      <c r="G31" s="1105">
        <v>550</v>
      </c>
      <c r="H31" s="1105">
        <v>800</v>
      </c>
      <c r="I31" s="1105">
        <v>800</v>
      </c>
      <c r="J31" s="1105">
        <v>800</v>
      </c>
      <c r="K31" s="1105">
        <v>800</v>
      </c>
    </row>
    <row r="32" spans="1:11" s="121" customFormat="1" ht="12.75">
      <c r="A32" s="1258">
        <v>27</v>
      </c>
      <c r="B32" s="727"/>
      <c r="C32" s="726" t="s">
        <v>218</v>
      </c>
      <c r="D32" s="1149" t="s">
        <v>92</v>
      </c>
      <c r="E32" s="1105">
        <v>876.99</v>
      </c>
      <c r="F32" s="1105">
        <v>0</v>
      </c>
      <c r="G32" s="1105">
        <v>200</v>
      </c>
      <c r="H32" s="1105">
        <v>500</v>
      </c>
      <c r="I32" s="1105">
        <v>300</v>
      </c>
      <c r="J32" s="1105">
        <v>300</v>
      </c>
      <c r="K32" s="1105">
        <v>300</v>
      </c>
    </row>
    <row r="33" spans="1:11" s="121" customFormat="1" ht="12.75">
      <c r="A33" s="1257">
        <v>28</v>
      </c>
      <c r="B33" s="471"/>
      <c r="C33" s="728" t="s">
        <v>218</v>
      </c>
      <c r="D33" s="1145" t="s">
        <v>206</v>
      </c>
      <c r="E33" s="1153">
        <v>63.6</v>
      </c>
      <c r="F33" s="1153">
        <v>528.96</v>
      </c>
      <c r="G33" s="1153">
        <v>250</v>
      </c>
      <c r="H33" s="1153">
        <v>853</v>
      </c>
      <c r="I33" s="1153">
        <f>200*5</f>
        <v>1000</v>
      </c>
      <c r="J33" s="1153">
        <v>1000</v>
      </c>
      <c r="K33" s="1153">
        <v>1000</v>
      </c>
    </row>
    <row r="34" spans="1:11" s="121" customFormat="1" ht="12.75">
      <c r="A34" s="1257">
        <v>29</v>
      </c>
      <c r="B34" s="471"/>
      <c r="C34" s="728" t="s">
        <v>218</v>
      </c>
      <c r="D34" s="1143" t="s">
        <v>420</v>
      </c>
      <c r="E34" s="1153">
        <v>2124.79</v>
      </c>
      <c r="F34" s="1153">
        <v>1129.6</v>
      </c>
      <c r="G34" s="1153">
        <v>3000</v>
      </c>
      <c r="H34" s="1153">
        <v>5000</v>
      </c>
      <c r="I34" s="1153">
        <v>5000</v>
      </c>
      <c r="J34" s="1153">
        <v>3500</v>
      </c>
      <c r="K34" s="1153">
        <v>3000</v>
      </c>
    </row>
    <row r="35" spans="1:11" s="121" customFormat="1" ht="12.75">
      <c r="A35" s="1257">
        <v>30</v>
      </c>
      <c r="B35" s="471"/>
      <c r="C35" s="728" t="s">
        <v>218</v>
      </c>
      <c r="D35" s="1145" t="s">
        <v>88</v>
      </c>
      <c r="E35" s="1153">
        <v>193.89</v>
      </c>
      <c r="F35" s="1153">
        <v>0</v>
      </c>
      <c r="G35" s="1153">
        <v>50</v>
      </c>
      <c r="H35" s="1153">
        <v>50</v>
      </c>
      <c r="I35" s="1153">
        <v>50</v>
      </c>
      <c r="J35" s="1153">
        <v>50</v>
      </c>
      <c r="K35" s="1153">
        <v>50</v>
      </c>
    </row>
    <row r="36" spans="1:11" s="121" customFormat="1" ht="12.75">
      <c r="A36" s="1257">
        <v>31</v>
      </c>
      <c r="B36" s="471"/>
      <c r="C36" s="728" t="s">
        <v>218</v>
      </c>
      <c r="D36" s="1145" t="s">
        <v>321</v>
      </c>
      <c r="E36" s="1153">
        <v>2577.8</v>
      </c>
      <c r="F36" s="1153">
        <v>6986.1</v>
      </c>
      <c r="G36" s="1153">
        <v>4500</v>
      </c>
      <c r="H36" s="1153">
        <v>4500</v>
      </c>
      <c r="I36" s="1153">
        <v>5000</v>
      </c>
      <c r="J36" s="1153">
        <v>5500</v>
      </c>
      <c r="K36" s="1153">
        <v>6000</v>
      </c>
    </row>
    <row r="37" spans="1:11" s="121" customFormat="1" ht="12.75">
      <c r="A37" s="1257">
        <v>33</v>
      </c>
      <c r="B37" s="471"/>
      <c r="C37" s="728" t="s">
        <v>218</v>
      </c>
      <c r="D37" s="1145" t="s">
        <v>114</v>
      </c>
      <c r="E37" s="1153">
        <v>660.56</v>
      </c>
      <c r="F37" s="1153">
        <v>663.19</v>
      </c>
      <c r="G37" s="1153">
        <v>1550</v>
      </c>
      <c r="H37" s="1153">
        <v>0</v>
      </c>
      <c r="I37" s="1153">
        <v>0</v>
      </c>
      <c r="J37" s="1153">
        <v>0</v>
      </c>
      <c r="K37" s="1153">
        <v>0</v>
      </c>
    </row>
    <row r="38" spans="1:11" s="121" customFormat="1" ht="12.75">
      <c r="A38" s="1257">
        <v>34</v>
      </c>
      <c r="B38" s="1154">
        <v>5</v>
      </c>
      <c r="C38" s="1155" t="s">
        <v>162</v>
      </c>
      <c r="D38" s="1156"/>
      <c r="E38" s="1157">
        <f aca="true" t="shared" si="5" ref="E38:K39">E39</f>
        <v>0</v>
      </c>
      <c r="F38" s="1157">
        <f t="shared" si="5"/>
        <v>149.32</v>
      </c>
      <c r="G38" s="1157">
        <f t="shared" si="5"/>
        <v>0</v>
      </c>
      <c r="H38" s="1157">
        <f t="shared" si="5"/>
        <v>0</v>
      </c>
      <c r="I38" s="1157">
        <f t="shared" si="5"/>
        <v>0</v>
      </c>
      <c r="J38" s="1157">
        <f t="shared" si="5"/>
        <v>0</v>
      </c>
      <c r="K38" s="1157">
        <f t="shared" si="5"/>
        <v>0</v>
      </c>
    </row>
    <row r="39" spans="1:11" s="121" customFormat="1" ht="12.75">
      <c r="A39" s="1257">
        <v>35</v>
      </c>
      <c r="B39" s="869" t="s">
        <v>163</v>
      </c>
      <c r="C39" s="1158" t="s">
        <v>173</v>
      </c>
      <c r="D39" s="1159"/>
      <c r="E39" s="159">
        <f t="shared" si="5"/>
        <v>0</v>
      </c>
      <c r="F39" s="159">
        <f t="shared" si="5"/>
        <v>149.32</v>
      </c>
      <c r="G39" s="159">
        <f t="shared" si="5"/>
        <v>0</v>
      </c>
      <c r="H39" s="159">
        <f t="shared" si="5"/>
        <v>0</v>
      </c>
      <c r="I39" s="159">
        <f t="shared" si="5"/>
        <v>0</v>
      </c>
      <c r="J39" s="159">
        <f t="shared" si="5"/>
        <v>0</v>
      </c>
      <c r="K39" s="159">
        <f t="shared" si="5"/>
        <v>0</v>
      </c>
    </row>
    <row r="40" spans="1:11" s="121" customFormat="1" ht="24.75" thickBot="1">
      <c r="A40" s="1265">
        <v>36</v>
      </c>
      <c r="B40" s="1021"/>
      <c r="C40" s="735" t="s">
        <v>218</v>
      </c>
      <c r="D40" s="1160" t="s">
        <v>477</v>
      </c>
      <c r="E40" s="1108">
        <v>0</v>
      </c>
      <c r="F40" s="1108">
        <v>149.32</v>
      </c>
      <c r="G40" s="1108">
        <v>0</v>
      </c>
      <c r="H40" s="1108">
        <v>0</v>
      </c>
      <c r="I40" s="1108">
        <v>0</v>
      </c>
      <c r="J40" s="1108">
        <v>0</v>
      </c>
      <c r="K40" s="1108">
        <v>0</v>
      </c>
    </row>
    <row r="41" s="35" customFormat="1" ht="9.75">
      <c r="B41" s="29"/>
    </row>
    <row r="42" spans="1:2" s="35" customFormat="1" ht="9.75">
      <c r="A42" s="66"/>
      <c r="B42" s="60"/>
    </row>
    <row r="43" spans="1:2" s="35" customFormat="1" ht="9.75">
      <c r="A43" s="66"/>
      <c r="B43" s="60"/>
    </row>
    <row r="44" spans="1:11" s="35" customFormat="1" ht="15.75" thickBot="1">
      <c r="A44" s="335"/>
      <c r="B44" s="1135" t="s">
        <v>236</v>
      </c>
      <c r="C44" s="1136"/>
      <c r="D44" s="1136"/>
      <c r="E44" s="336"/>
      <c r="F44" s="336"/>
      <c r="G44" s="336"/>
      <c r="H44" s="336"/>
      <c r="I44" s="336"/>
      <c r="J44" s="336"/>
      <c r="K44" s="336"/>
    </row>
    <row r="45" spans="1:11" s="35" customFormat="1" ht="15">
      <c r="A45" s="1529" t="s">
        <v>9</v>
      </c>
      <c r="B45" s="1530"/>
      <c r="C45" s="1530"/>
      <c r="D45" s="1530"/>
      <c r="E45" s="123" t="s">
        <v>262</v>
      </c>
      <c r="F45" s="123" t="s">
        <v>262</v>
      </c>
      <c r="G45" s="51" t="s">
        <v>263</v>
      </c>
      <c r="H45" s="51" t="s">
        <v>216</v>
      </c>
      <c r="I45" s="139" t="s">
        <v>12</v>
      </c>
      <c r="J45" s="128" t="s">
        <v>12</v>
      </c>
      <c r="K45" s="127" t="s">
        <v>12</v>
      </c>
    </row>
    <row r="46" spans="1:11" s="35" customFormat="1" ht="11.25">
      <c r="A46" s="337"/>
      <c r="B46" s="1531"/>
      <c r="C46" s="1532"/>
      <c r="D46" s="1532"/>
      <c r="E46" s="80"/>
      <c r="F46" s="80"/>
      <c r="G46" s="125" t="s">
        <v>215</v>
      </c>
      <c r="H46" s="125" t="s">
        <v>217</v>
      </c>
      <c r="I46" s="140"/>
      <c r="J46" s="184" t="s">
        <v>320</v>
      </c>
      <c r="K46" s="184" t="s">
        <v>320</v>
      </c>
    </row>
    <row r="47" spans="1:11" s="35" customFormat="1" ht="15.75">
      <c r="A47" s="1533" t="s">
        <v>467</v>
      </c>
      <c r="B47" s="1535" t="s">
        <v>468</v>
      </c>
      <c r="C47" s="1535" t="s">
        <v>469</v>
      </c>
      <c r="D47" s="1537" t="s">
        <v>5</v>
      </c>
      <c r="E47" s="124" t="s">
        <v>272</v>
      </c>
      <c r="F47" s="124" t="s">
        <v>284</v>
      </c>
      <c r="G47" s="126">
        <v>2023</v>
      </c>
      <c r="H47" s="82" t="s">
        <v>332</v>
      </c>
      <c r="I47" s="141">
        <v>2024</v>
      </c>
      <c r="J47" s="130" t="s">
        <v>421</v>
      </c>
      <c r="K47" s="129">
        <v>2026</v>
      </c>
    </row>
    <row r="48" spans="1:11" s="35" customFormat="1" ht="12" thickBot="1">
      <c r="A48" s="1534"/>
      <c r="B48" s="1536"/>
      <c r="C48" s="1536"/>
      <c r="D48" s="1538"/>
      <c r="E48" s="83" t="s">
        <v>207</v>
      </c>
      <c r="F48" s="83" t="s">
        <v>207</v>
      </c>
      <c r="G48" s="84" t="s">
        <v>207</v>
      </c>
      <c r="H48" s="84" t="s">
        <v>207</v>
      </c>
      <c r="I48" s="142" t="s">
        <v>207</v>
      </c>
      <c r="J48" s="132" t="s">
        <v>207</v>
      </c>
      <c r="K48" s="131" t="s">
        <v>207</v>
      </c>
    </row>
    <row r="49" spans="1:11" s="176" customFormat="1" ht="13.5" thickBot="1" thickTop="1">
      <c r="A49" s="1257">
        <v>1</v>
      </c>
      <c r="B49" s="1109" t="s">
        <v>111</v>
      </c>
      <c r="C49" s="1110"/>
      <c r="D49" s="1111"/>
      <c r="E49" s="1112">
        <f>E50+E53+E56</f>
        <v>0</v>
      </c>
      <c r="F49" s="1112">
        <f aca="true" t="shared" si="6" ref="F49:K49">F50+F53+F56</f>
        <v>0</v>
      </c>
      <c r="G49" s="1112">
        <f t="shared" si="6"/>
        <v>0</v>
      </c>
      <c r="H49" s="1112">
        <f t="shared" si="6"/>
        <v>22345</v>
      </c>
      <c r="I49" s="1112">
        <f t="shared" si="6"/>
        <v>0</v>
      </c>
      <c r="J49" s="1112">
        <f t="shared" si="6"/>
        <v>0</v>
      </c>
      <c r="K49" s="1112">
        <f t="shared" si="6"/>
        <v>0</v>
      </c>
    </row>
    <row r="50" spans="1:11" s="176" customFormat="1" ht="12.75" thickTop="1">
      <c r="A50" s="1258">
        <v>2</v>
      </c>
      <c r="B50" s="1113">
        <v>2</v>
      </c>
      <c r="C50" s="1114" t="s">
        <v>90</v>
      </c>
      <c r="D50" s="1115"/>
      <c r="E50" s="1116">
        <f aca="true" t="shared" si="7" ref="E50:K51">E51</f>
        <v>0</v>
      </c>
      <c r="F50" s="1116">
        <f t="shared" si="7"/>
        <v>0</v>
      </c>
      <c r="G50" s="1117">
        <f t="shared" si="7"/>
        <v>0</v>
      </c>
      <c r="H50" s="1117">
        <f t="shared" si="7"/>
        <v>0</v>
      </c>
      <c r="I50" s="1117">
        <f t="shared" si="7"/>
        <v>0</v>
      </c>
      <c r="J50" s="1117">
        <f t="shared" si="7"/>
        <v>0</v>
      </c>
      <c r="K50" s="1117">
        <f t="shared" si="7"/>
        <v>0</v>
      </c>
    </row>
    <row r="51" spans="1:11" s="176" customFormat="1" ht="12">
      <c r="A51" s="1258">
        <v>3</v>
      </c>
      <c r="B51" s="1118" t="s">
        <v>143</v>
      </c>
      <c r="C51" s="1119" t="s">
        <v>0</v>
      </c>
      <c r="D51" s="1120"/>
      <c r="E51" s="1121">
        <f>E52</f>
        <v>0</v>
      </c>
      <c r="F51" s="1121">
        <f>F52</f>
        <v>0</v>
      </c>
      <c r="G51" s="1122">
        <f t="shared" si="7"/>
        <v>0</v>
      </c>
      <c r="H51" s="1122">
        <f t="shared" si="7"/>
        <v>0</v>
      </c>
      <c r="I51" s="1122">
        <f t="shared" si="7"/>
        <v>0</v>
      </c>
      <c r="J51" s="1122">
        <f t="shared" si="7"/>
        <v>0</v>
      </c>
      <c r="K51" s="1122">
        <f t="shared" si="7"/>
        <v>0</v>
      </c>
    </row>
    <row r="52" spans="1:11" s="176" customFormat="1" ht="12">
      <c r="A52" s="1264" t="s">
        <v>7</v>
      </c>
      <c r="B52" s="1123"/>
      <c r="C52" s="1124" t="s">
        <v>218</v>
      </c>
      <c r="D52" s="1125" t="s">
        <v>245</v>
      </c>
      <c r="E52" s="1126">
        <v>0</v>
      </c>
      <c r="F52" s="1126">
        <v>0</v>
      </c>
      <c r="G52" s="1127">
        <v>0</v>
      </c>
      <c r="H52" s="1127">
        <f>G52</f>
        <v>0</v>
      </c>
      <c r="I52" s="1127">
        <f>H52</f>
        <v>0</v>
      </c>
      <c r="J52" s="1127">
        <f>I52</f>
        <v>0</v>
      </c>
      <c r="K52" s="1127">
        <f>J52</f>
        <v>0</v>
      </c>
    </row>
    <row r="53" spans="1:11" s="176" customFormat="1" ht="27.75" customHeight="1">
      <c r="A53" s="1258">
        <v>5</v>
      </c>
      <c r="B53" s="1113">
        <v>3</v>
      </c>
      <c r="C53" s="1526" t="s">
        <v>91</v>
      </c>
      <c r="D53" s="1527"/>
      <c r="E53" s="1116">
        <f aca="true" t="shared" si="8" ref="E53:K56">E54</f>
        <v>0</v>
      </c>
      <c r="F53" s="1116">
        <f t="shared" si="8"/>
        <v>0</v>
      </c>
      <c r="G53" s="1117">
        <f t="shared" si="8"/>
        <v>0</v>
      </c>
      <c r="H53" s="1117">
        <f t="shared" si="8"/>
        <v>0</v>
      </c>
      <c r="I53" s="1117">
        <f t="shared" si="8"/>
        <v>0</v>
      </c>
      <c r="J53" s="1117">
        <f t="shared" si="8"/>
        <v>0</v>
      </c>
      <c r="K53" s="1117">
        <f t="shared" si="8"/>
        <v>0</v>
      </c>
    </row>
    <row r="54" spans="1:11" s="176" customFormat="1" ht="12">
      <c r="A54" s="1258">
        <v>6</v>
      </c>
      <c r="B54" s="452" t="s">
        <v>141</v>
      </c>
      <c r="C54" s="1128" t="s">
        <v>113</v>
      </c>
      <c r="D54" s="1120"/>
      <c r="E54" s="1121">
        <f>E55</f>
        <v>0</v>
      </c>
      <c r="F54" s="1121">
        <f>F55</f>
        <v>0</v>
      </c>
      <c r="G54" s="1122">
        <f t="shared" si="8"/>
        <v>0</v>
      </c>
      <c r="H54" s="1122">
        <f t="shared" si="8"/>
        <v>0</v>
      </c>
      <c r="I54" s="1122">
        <f t="shared" si="8"/>
        <v>0</v>
      </c>
      <c r="J54" s="1122">
        <f t="shared" si="8"/>
        <v>0</v>
      </c>
      <c r="K54" s="1122">
        <f t="shared" si="8"/>
        <v>0</v>
      </c>
    </row>
    <row r="55" spans="1:11" s="176" customFormat="1" ht="12">
      <c r="A55" s="1258">
        <v>7</v>
      </c>
      <c r="B55" s="1123"/>
      <c r="C55" s="453" t="s">
        <v>222</v>
      </c>
      <c r="D55" s="1129" t="s">
        <v>246</v>
      </c>
      <c r="E55" s="1126">
        <v>0</v>
      </c>
      <c r="F55" s="1126">
        <v>0</v>
      </c>
      <c r="G55" s="1127">
        <v>0</v>
      </c>
      <c r="H55" s="1127">
        <v>0</v>
      </c>
      <c r="I55" s="1127">
        <v>0</v>
      </c>
      <c r="J55" s="1127">
        <v>0</v>
      </c>
      <c r="K55" s="1127">
        <v>0</v>
      </c>
    </row>
    <row r="56" spans="1:11" s="176" customFormat="1" ht="12">
      <c r="A56" s="1258">
        <v>8</v>
      </c>
      <c r="B56" s="1113">
        <v>4</v>
      </c>
      <c r="C56" s="1114" t="s">
        <v>299</v>
      </c>
      <c r="D56" s="1115"/>
      <c r="E56" s="1116">
        <f t="shared" si="8"/>
        <v>0</v>
      </c>
      <c r="F56" s="1116">
        <f t="shared" si="8"/>
        <v>0</v>
      </c>
      <c r="G56" s="1117">
        <f t="shared" si="8"/>
        <v>0</v>
      </c>
      <c r="H56" s="1117">
        <f t="shared" si="8"/>
        <v>22345</v>
      </c>
      <c r="I56" s="1117">
        <f t="shared" si="8"/>
        <v>0</v>
      </c>
      <c r="J56" s="1117">
        <f t="shared" si="8"/>
        <v>0</v>
      </c>
      <c r="K56" s="1117">
        <f t="shared" si="8"/>
        <v>0</v>
      </c>
    </row>
    <row r="57" spans="1:11" s="176" customFormat="1" ht="12">
      <c r="A57" s="1258">
        <v>9</v>
      </c>
      <c r="B57" s="192" t="s">
        <v>144</v>
      </c>
      <c r="C57" s="1130" t="s">
        <v>49</v>
      </c>
      <c r="D57" s="1131"/>
      <c r="E57" s="1121">
        <f>E59</f>
        <v>0</v>
      </c>
      <c r="F57" s="1121">
        <f>F59</f>
        <v>0</v>
      </c>
      <c r="G57" s="1122">
        <f>G59</f>
        <v>0</v>
      </c>
      <c r="H57" s="1122">
        <f>SUM(H58:H60)</f>
        <v>22345</v>
      </c>
      <c r="I57" s="1122">
        <f>SUM(I59:I60)</f>
        <v>0</v>
      </c>
      <c r="J57" s="1122">
        <f>SUM(J59:J60)</f>
        <v>0</v>
      </c>
      <c r="K57" s="1122">
        <f>SUM(K59:K60)</f>
        <v>0</v>
      </c>
    </row>
    <row r="58" spans="1:11" s="176" customFormat="1" ht="24">
      <c r="A58" s="1258">
        <v>10</v>
      </c>
      <c r="B58" s="1123"/>
      <c r="C58" s="453" t="s">
        <v>222</v>
      </c>
      <c r="D58" s="1132" t="s">
        <v>633</v>
      </c>
      <c r="E58" s="1126">
        <v>0</v>
      </c>
      <c r="F58" s="1126">
        <v>0</v>
      </c>
      <c r="G58" s="1127">
        <v>0</v>
      </c>
      <c r="H58" s="1127">
        <v>900</v>
      </c>
      <c r="I58" s="1127">
        <v>0</v>
      </c>
      <c r="J58" s="1127">
        <v>0</v>
      </c>
      <c r="K58" s="1127">
        <v>0</v>
      </c>
    </row>
    <row r="59" spans="1:11" s="176" customFormat="1" ht="36">
      <c r="A59" s="1258">
        <v>11</v>
      </c>
      <c r="B59" s="1123"/>
      <c r="C59" s="453" t="s">
        <v>222</v>
      </c>
      <c r="D59" s="1132" t="s">
        <v>577</v>
      </c>
      <c r="E59" s="1126">
        <v>0</v>
      </c>
      <c r="F59" s="1126">
        <v>0</v>
      </c>
      <c r="G59" s="1127">
        <v>0</v>
      </c>
      <c r="H59" s="1127">
        <v>15000</v>
      </c>
      <c r="I59" s="1127">
        <v>0</v>
      </c>
      <c r="J59" s="1127">
        <v>0</v>
      </c>
      <c r="K59" s="1127">
        <v>0</v>
      </c>
    </row>
    <row r="60" spans="1:11" s="176" customFormat="1" ht="36.75" thickBot="1">
      <c r="A60" s="1265">
        <v>12</v>
      </c>
      <c r="B60" s="1340"/>
      <c r="C60" s="1294" t="s">
        <v>222</v>
      </c>
      <c r="D60" s="1341" t="s">
        <v>578</v>
      </c>
      <c r="E60" s="1133">
        <v>0</v>
      </c>
      <c r="F60" s="1133">
        <v>0</v>
      </c>
      <c r="G60" s="1134">
        <v>0</v>
      </c>
      <c r="H60" s="1134">
        <v>6445</v>
      </c>
      <c r="I60" s="1134">
        <v>0</v>
      </c>
      <c r="J60" s="1134">
        <v>0</v>
      </c>
      <c r="K60" s="1134">
        <v>0</v>
      </c>
    </row>
    <row r="61" spans="1:11" s="176" customFormat="1" ht="9.75">
      <c r="A61" s="381"/>
      <c r="B61" s="382"/>
      <c r="C61" s="162"/>
      <c r="D61" s="162"/>
      <c r="E61" s="162"/>
      <c r="F61" s="162"/>
      <c r="G61" s="162"/>
      <c r="H61" s="162"/>
      <c r="I61" s="162"/>
      <c r="J61" s="162"/>
      <c r="K61" s="162"/>
    </row>
    <row r="62" spans="1:2" s="176" customFormat="1" ht="9.75">
      <c r="A62" s="310"/>
      <c r="B62" s="174"/>
    </row>
    <row r="63" spans="1:2" s="176" customFormat="1" ht="9.75">
      <c r="A63" s="310"/>
      <c r="B63" s="174"/>
    </row>
    <row r="64" spans="1:2" s="176" customFormat="1" ht="9.75">
      <c r="A64" s="310"/>
      <c r="B64" s="174"/>
    </row>
    <row r="65" spans="1:2" s="176" customFormat="1" ht="9.75">
      <c r="A65" s="310"/>
      <c r="B65" s="174"/>
    </row>
    <row r="66" spans="1:2" s="176" customFormat="1" ht="9.75">
      <c r="A66" s="310"/>
      <c r="B66" s="174"/>
    </row>
    <row r="67" s="176" customFormat="1" ht="9.75">
      <c r="B67" s="174"/>
    </row>
    <row r="68" s="176" customFormat="1" ht="9.75">
      <c r="B68" s="174"/>
    </row>
    <row r="69" s="176" customFormat="1" ht="9.75">
      <c r="B69" s="174"/>
    </row>
    <row r="70" s="176" customFormat="1" ht="9.75">
      <c r="B70" s="174"/>
    </row>
    <row r="71" s="176" customFormat="1" ht="9.75">
      <c r="B71" s="174"/>
    </row>
    <row r="72" s="176" customFormat="1" ht="9.75">
      <c r="B72" s="174"/>
    </row>
    <row r="73" s="176" customFormat="1" ht="9.75">
      <c r="B73" s="174"/>
    </row>
    <row r="74" s="176" customFormat="1" ht="9.75">
      <c r="B74" s="174"/>
    </row>
    <row r="75" s="35" customFormat="1" ht="9.75">
      <c r="B75" s="59"/>
    </row>
    <row r="76" s="35" customFormat="1" ht="9.75">
      <c r="B76" s="59"/>
    </row>
    <row r="77" s="35" customFormat="1" ht="9.75">
      <c r="B77" s="59"/>
    </row>
    <row r="78" s="35" customFormat="1" ht="9.75"/>
    <row r="79" s="35" customFormat="1" ht="9.75"/>
    <row r="80" s="35" customFormat="1" ht="9.75">
      <c r="B80" s="59"/>
    </row>
    <row r="81" s="35" customFormat="1" ht="9.75">
      <c r="D81" s="59"/>
    </row>
    <row r="82" s="35" customFormat="1" ht="9.75">
      <c r="D82" s="59"/>
    </row>
    <row r="83" ht="12.75">
      <c r="D83" s="21"/>
    </row>
    <row r="84" ht="12.75">
      <c r="D84" s="21"/>
    </row>
    <row r="90" s="35" customFormat="1" ht="9.75">
      <c r="B90" s="29"/>
    </row>
    <row r="91" spans="1:2" s="35" customFormat="1" ht="9.75">
      <c r="A91" s="66"/>
      <c r="B91" s="60"/>
    </row>
    <row r="92" spans="1:2" s="35" customFormat="1" ht="9.75">
      <c r="A92" s="66"/>
      <c r="B92" s="60"/>
    </row>
    <row r="93" spans="1:2" s="35" customFormat="1" ht="9.75">
      <c r="A93" s="66"/>
      <c r="B93" s="60"/>
    </row>
    <row r="94" spans="1:2" s="35" customFormat="1" ht="9.75">
      <c r="A94" s="66"/>
      <c r="B94" s="59"/>
    </row>
    <row r="95" spans="1:2" s="35" customFormat="1" ht="9.75">
      <c r="A95" s="66"/>
      <c r="B95" s="59"/>
    </row>
    <row r="96" spans="1:2" s="35" customFormat="1" ht="9.75">
      <c r="A96" s="66"/>
      <c r="B96" s="59"/>
    </row>
    <row r="97" s="35" customFormat="1" ht="9.75">
      <c r="B97" s="59"/>
    </row>
    <row r="98" s="35" customFormat="1" ht="9.75">
      <c r="B98" s="59"/>
    </row>
    <row r="99" s="35" customFormat="1" ht="9.75">
      <c r="B99" s="59"/>
    </row>
    <row r="100" s="35" customFormat="1" ht="9.75">
      <c r="B100" s="59"/>
    </row>
    <row r="101" s="35" customFormat="1" ht="9.75">
      <c r="B101" s="59"/>
    </row>
    <row r="102" s="35" customFormat="1" ht="9.75">
      <c r="B102" s="59"/>
    </row>
    <row r="103" s="35" customFormat="1" ht="9.75">
      <c r="B103" s="59"/>
    </row>
    <row r="104" s="35" customFormat="1" ht="9.75">
      <c r="B104" s="59"/>
    </row>
    <row r="105" s="35" customFormat="1" ht="9.75">
      <c r="B105" s="59"/>
    </row>
    <row r="106" s="35" customFormat="1" ht="9.75">
      <c r="B106" s="59"/>
    </row>
  </sheetData>
  <sheetProtection/>
  <mergeCells count="13">
    <mergeCell ref="B47:B48"/>
    <mergeCell ref="C47:C48"/>
    <mergeCell ref="D47:D48"/>
    <mergeCell ref="C53:D53"/>
    <mergeCell ref="A2:D2"/>
    <mergeCell ref="B3:D3"/>
    <mergeCell ref="A45:D45"/>
    <mergeCell ref="B46:D46"/>
    <mergeCell ref="A4:A5"/>
    <mergeCell ref="B4:B5"/>
    <mergeCell ref="C4:C5"/>
    <mergeCell ref="D4:D5"/>
    <mergeCell ref="A47:A48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1">
      <pane ySplit="5" topLeftCell="A24" activePane="bottomLeft" state="frozen"/>
      <selection pane="topLeft" activeCell="A1" sqref="A1"/>
      <selection pane="bottomLeft" activeCell="M37" sqref="M37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7.00390625" style="0" customWidth="1"/>
    <col min="4" max="4" width="27.57421875" style="0" customWidth="1"/>
    <col min="5" max="6" width="10.28125" style="0" bestFit="1" customWidth="1"/>
    <col min="7" max="7" width="9.00390625" style="0" bestFit="1" customWidth="1"/>
    <col min="8" max="8" width="10.28125" style="0" bestFit="1" customWidth="1"/>
    <col min="9" max="11" width="8.421875" style="0" bestFit="1" customWidth="1"/>
  </cols>
  <sheetData>
    <row r="1" spans="1:2" ht="15" thickBot="1">
      <c r="A1" s="15"/>
      <c r="B1" s="85" t="s">
        <v>237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1539"/>
      <c r="B3" s="1540"/>
      <c r="C3" s="1540"/>
      <c r="D3" s="1540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s="121" customFormat="1" ht="14.25" thickBot="1" thickTop="1">
      <c r="A6" s="456">
        <v>1</v>
      </c>
      <c r="B6" s="459" t="s">
        <v>115</v>
      </c>
      <c r="C6" s="738"/>
      <c r="D6" s="477"/>
      <c r="E6" s="739">
        <f>E8+E12+E17</f>
        <v>1774.6499999999999</v>
      </c>
      <c r="F6" s="739">
        <f>F8+F12+F17</f>
        <v>22728.29</v>
      </c>
      <c r="G6" s="739">
        <f>G8+G12+G17</f>
        <v>8500</v>
      </c>
      <c r="H6" s="739">
        <f>H8+H12+H17+H22</f>
        <v>29632.4</v>
      </c>
      <c r="I6" s="739">
        <f>I8+I12+I17+I22</f>
        <v>8645.6</v>
      </c>
      <c r="J6" s="739">
        <f>J8+J12+J17+J22</f>
        <v>8500</v>
      </c>
      <c r="K6" s="739">
        <f>K8+K12+K17+K22</f>
        <v>8500</v>
      </c>
    </row>
    <row r="7" spans="1:11" s="121" customFormat="1" ht="13.5" thickTop="1">
      <c r="A7" s="462">
        <v>2</v>
      </c>
      <c r="B7" s="914">
        <v>1</v>
      </c>
      <c r="C7" s="492" t="s">
        <v>70</v>
      </c>
      <c r="D7" s="493"/>
      <c r="E7" s="1162"/>
      <c r="F7" s="1162"/>
      <c r="G7" s="1162"/>
      <c r="H7" s="1162"/>
      <c r="I7" s="1162"/>
      <c r="J7" s="1162"/>
      <c r="K7" s="1162"/>
    </row>
    <row r="8" spans="1:11" s="121" customFormat="1" ht="12.75">
      <c r="A8" s="462">
        <v>3</v>
      </c>
      <c r="B8" s="457"/>
      <c r="C8" s="478" t="s">
        <v>456</v>
      </c>
      <c r="D8" s="458"/>
      <c r="E8" s="109">
        <f aca="true" t="shared" si="0" ref="E8:K8">E9</f>
        <v>99.57</v>
      </c>
      <c r="F8" s="109">
        <f t="shared" si="0"/>
        <v>16092</v>
      </c>
      <c r="G8" s="109">
        <f t="shared" si="0"/>
        <v>150</v>
      </c>
      <c r="H8" s="109">
        <f t="shared" si="0"/>
        <v>20800</v>
      </c>
      <c r="I8" s="109">
        <f t="shared" si="0"/>
        <v>150</v>
      </c>
      <c r="J8" s="109">
        <f t="shared" si="0"/>
        <v>150</v>
      </c>
      <c r="K8" s="109">
        <f t="shared" si="0"/>
        <v>150</v>
      </c>
    </row>
    <row r="9" spans="1:13" s="121" customFormat="1" ht="12.75">
      <c r="A9" s="462">
        <v>4</v>
      </c>
      <c r="B9" s="724" t="s">
        <v>199</v>
      </c>
      <c r="C9" s="495" t="s">
        <v>361</v>
      </c>
      <c r="D9" s="496"/>
      <c r="E9" s="158">
        <v>99.57</v>
      </c>
      <c r="F9" s="158">
        <f aca="true" t="shared" si="1" ref="F9:K9">SUM(F10:F11)</f>
        <v>16092</v>
      </c>
      <c r="G9" s="158">
        <f t="shared" si="1"/>
        <v>150</v>
      </c>
      <c r="H9" s="158">
        <f t="shared" si="1"/>
        <v>20800</v>
      </c>
      <c r="I9" s="158">
        <f t="shared" si="1"/>
        <v>150</v>
      </c>
      <c r="J9" s="158">
        <f t="shared" si="1"/>
        <v>150</v>
      </c>
      <c r="K9" s="158">
        <f t="shared" si="1"/>
        <v>150</v>
      </c>
      <c r="L9" s="167"/>
      <c r="M9" s="168"/>
    </row>
    <row r="10" spans="1:13" s="121" customFormat="1" ht="24">
      <c r="A10" s="462">
        <v>5</v>
      </c>
      <c r="B10" s="1163"/>
      <c r="C10" s="528" t="s">
        <v>219</v>
      </c>
      <c r="D10" s="644" t="s">
        <v>454</v>
      </c>
      <c r="E10" s="581">
        <v>99.57</v>
      </c>
      <c r="F10" s="581">
        <v>50</v>
      </c>
      <c r="G10" s="581">
        <v>150</v>
      </c>
      <c r="H10" s="581">
        <v>150</v>
      </c>
      <c r="I10" s="581">
        <v>150</v>
      </c>
      <c r="J10" s="581">
        <v>150</v>
      </c>
      <c r="K10" s="581">
        <v>150</v>
      </c>
      <c r="L10" s="114"/>
      <c r="M10" s="168"/>
    </row>
    <row r="11" spans="1:13" s="121" customFormat="1" ht="24">
      <c r="A11" s="462">
        <v>6</v>
      </c>
      <c r="B11" s="1163"/>
      <c r="C11" s="528" t="s">
        <v>219</v>
      </c>
      <c r="D11" s="644" t="s">
        <v>455</v>
      </c>
      <c r="E11" s="581">
        <v>0</v>
      </c>
      <c r="F11" s="581">
        <v>16042</v>
      </c>
      <c r="G11" s="581">
        <v>0</v>
      </c>
      <c r="H11" s="581">
        <v>20650</v>
      </c>
      <c r="I11" s="581">
        <f>'Bežné príjmy'!K93</f>
        <v>0</v>
      </c>
      <c r="J11" s="581">
        <f>'Bežné príjmy'!L93</f>
        <v>0</v>
      </c>
      <c r="K11" s="581">
        <f>'Bežné príjmy'!M93</f>
        <v>0</v>
      </c>
      <c r="L11" s="114"/>
      <c r="M11" s="168"/>
    </row>
    <row r="12" spans="1:11" s="121" customFormat="1" ht="12.75">
      <c r="A12" s="462">
        <v>7</v>
      </c>
      <c r="B12" s="483">
        <v>2</v>
      </c>
      <c r="C12" s="484" t="s">
        <v>116</v>
      </c>
      <c r="D12" s="458"/>
      <c r="E12" s="109">
        <f aca="true" t="shared" si="2" ref="E12:K12">E13</f>
        <v>1675.08</v>
      </c>
      <c r="F12" s="109">
        <f t="shared" si="2"/>
        <v>2170.3</v>
      </c>
      <c r="G12" s="109">
        <f t="shared" si="2"/>
        <v>3050</v>
      </c>
      <c r="H12" s="109">
        <f t="shared" si="2"/>
        <v>3050</v>
      </c>
      <c r="I12" s="109">
        <f t="shared" si="2"/>
        <v>3050</v>
      </c>
      <c r="J12" s="109">
        <f t="shared" si="2"/>
        <v>3050</v>
      </c>
      <c r="K12" s="109">
        <f t="shared" si="2"/>
        <v>3050</v>
      </c>
    </row>
    <row r="13" spans="1:11" s="121" customFormat="1" ht="12.75">
      <c r="A13" s="462">
        <v>8</v>
      </c>
      <c r="B13" s="724" t="s">
        <v>200</v>
      </c>
      <c r="C13" s="495" t="s">
        <v>116</v>
      </c>
      <c r="D13" s="1088"/>
      <c r="E13" s="158">
        <f>SUM(E14:E16)</f>
        <v>1675.08</v>
      </c>
      <c r="F13" s="158">
        <f aca="true" t="shared" si="3" ref="F13:K13">SUM(F14:F16)</f>
        <v>2170.3</v>
      </c>
      <c r="G13" s="158">
        <f t="shared" si="3"/>
        <v>3050</v>
      </c>
      <c r="H13" s="158">
        <f t="shared" si="3"/>
        <v>3050</v>
      </c>
      <c r="I13" s="158">
        <f t="shared" si="3"/>
        <v>3050</v>
      </c>
      <c r="J13" s="158">
        <f t="shared" si="3"/>
        <v>3050</v>
      </c>
      <c r="K13" s="158">
        <f t="shared" si="3"/>
        <v>3050</v>
      </c>
    </row>
    <row r="14" spans="1:11" s="121" customFormat="1" ht="12.75">
      <c r="A14" s="462">
        <v>11</v>
      </c>
      <c r="B14" s="750"/>
      <c r="C14" s="1164" t="s">
        <v>218</v>
      </c>
      <c r="D14" s="503" t="s">
        <v>93</v>
      </c>
      <c r="E14" s="1165">
        <v>1675.08</v>
      </c>
      <c r="F14" s="1165">
        <v>1196.8</v>
      </c>
      <c r="G14" s="1165">
        <v>2000</v>
      </c>
      <c r="H14" s="1165">
        <v>2000</v>
      </c>
      <c r="I14" s="1165">
        <v>2000</v>
      </c>
      <c r="J14" s="1165">
        <v>2000</v>
      </c>
      <c r="K14" s="1165">
        <v>2000</v>
      </c>
    </row>
    <row r="15" spans="1:11" s="121" customFormat="1" ht="12.75">
      <c r="A15" s="462">
        <v>12</v>
      </c>
      <c r="B15" s="750"/>
      <c r="C15" s="1164" t="s">
        <v>218</v>
      </c>
      <c r="D15" s="503" t="s">
        <v>94</v>
      </c>
      <c r="E15" s="1165">
        <v>0</v>
      </c>
      <c r="F15" s="1165">
        <v>973.5</v>
      </c>
      <c r="G15" s="1165">
        <v>1000</v>
      </c>
      <c r="H15" s="1165">
        <v>1000</v>
      </c>
      <c r="I15" s="1165">
        <v>1000</v>
      </c>
      <c r="J15" s="1165">
        <v>1000</v>
      </c>
      <c r="K15" s="1165">
        <v>1000</v>
      </c>
    </row>
    <row r="16" spans="1:11" s="121" customFormat="1" ht="12.75">
      <c r="A16" s="462">
        <v>13</v>
      </c>
      <c r="B16" s="730"/>
      <c r="C16" s="726" t="s">
        <v>218</v>
      </c>
      <c r="D16" s="500" t="s">
        <v>457</v>
      </c>
      <c r="E16" s="147">
        <v>0</v>
      </c>
      <c r="F16" s="147">
        <v>0</v>
      </c>
      <c r="G16" s="147">
        <v>50</v>
      </c>
      <c r="H16" s="147">
        <v>50</v>
      </c>
      <c r="I16" s="147">
        <v>50</v>
      </c>
      <c r="J16" s="147">
        <v>50</v>
      </c>
      <c r="K16" s="147">
        <v>50</v>
      </c>
    </row>
    <row r="17" spans="1:11" s="121" customFormat="1" ht="12.75">
      <c r="A17" s="462">
        <v>14</v>
      </c>
      <c r="B17" s="483">
        <v>3</v>
      </c>
      <c r="C17" s="492" t="s">
        <v>47</v>
      </c>
      <c r="D17" s="493"/>
      <c r="E17" s="157">
        <f aca="true" t="shared" si="4" ref="E17:K17">E18</f>
        <v>0</v>
      </c>
      <c r="F17" s="157">
        <f t="shared" si="4"/>
        <v>4465.99</v>
      </c>
      <c r="G17" s="157">
        <f t="shared" si="4"/>
        <v>5300</v>
      </c>
      <c r="H17" s="157">
        <f t="shared" si="4"/>
        <v>5399</v>
      </c>
      <c r="I17" s="157">
        <f t="shared" si="4"/>
        <v>5300</v>
      </c>
      <c r="J17" s="157">
        <f t="shared" si="4"/>
        <v>5300</v>
      </c>
      <c r="K17" s="157">
        <f t="shared" si="4"/>
        <v>5300</v>
      </c>
    </row>
    <row r="18" spans="1:11" s="121" customFormat="1" ht="12.75">
      <c r="A18" s="462">
        <v>15</v>
      </c>
      <c r="B18" s="740" t="s">
        <v>201</v>
      </c>
      <c r="C18" s="498" t="s">
        <v>47</v>
      </c>
      <c r="D18" s="1166"/>
      <c r="E18" s="155">
        <f>E21</f>
        <v>0</v>
      </c>
      <c r="F18" s="155">
        <f aca="true" t="shared" si="5" ref="F18:K18">SUM(F19:F21)</f>
        <v>4465.99</v>
      </c>
      <c r="G18" s="155">
        <f t="shared" si="5"/>
        <v>5300</v>
      </c>
      <c r="H18" s="155">
        <f t="shared" si="5"/>
        <v>5399</v>
      </c>
      <c r="I18" s="155">
        <f t="shared" si="5"/>
        <v>5300</v>
      </c>
      <c r="J18" s="155">
        <f t="shared" si="5"/>
        <v>5300</v>
      </c>
      <c r="K18" s="155">
        <f t="shared" si="5"/>
        <v>5300</v>
      </c>
    </row>
    <row r="19" spans="1:11" s="121" customFormat="1" ht="24">
      <c r="A19" s="1167">
        <v>16</v>
      </c>
      <c r="B19" s="1168"/>
      <c r="C19" s="1169" t="s">
        <v>218</v>
      </c>
      <c r="D19" s="1177" t="s">
        <v>453</v>
      </c>
      <c r="E19" s="532">
        <v>0</v>
      </c>
      <c r="F19" s="532">
        <v>3079.99</v>
      </c>
      <c r="G19" s="532">
        <v>4800</v>
      </c>
      <c r="H19" s="532">
        <v>4800</v>
      </c>
      <c r="I19" s="532">
        <f>12*400</f>
        <v>4800</v>
      </c>
      <c r="J19" s="532">
        <f>12*400</f>
        <v>4800</v>
      </c>
      <c r="K19" s="532">
        <f>12*400</f>
        <v>4800</v>
      </c>
    </row>
    <row r="20" spans="1:11" s="121" customFormat="1" ht="12.75">
      <c r="A20" s="1167">
        <v>17</v>
      </c>
      <c r="B20" s="1168"/>
      <c r="C20" s="1169" t="s">
        <v>218</v>
      </c>
      <c r="D20" s="1170" t="s">
        <v>642</v>
      </c>
      <c r="E20" s="532">
        <v>0</v>
      </c>
      <c r="F20" s="532">
        <v>891</v>
      </c>
      <c r="G20" s="532">
        <v>0</v>
      </c>
      <c r="H20" s="532">
        <v>99</v>
      </c>
      <c r="I20" s="532">
        <v>0</v>
      </c>
      <c r="J20" s="532">
        <v>0</v>
      </c>
      <c r="K20" s="532">
        <v>0</v>
      </c>
    </row>
    <row r="21" spans="1:11" s="121" customFormat="1" ht="24">
      <c r="A21" s="462">
        <v>18</v>
      </c>
      <c r="B21" s="1171"/>
      <c r="C21" s="1171">
        <v>630</v>
      </c>
      <c r="D21" s="1178" t="s">
        <v>289</v>
      </c>
      <c r="E21" s="1172">
        <v>0</v>
      </c>
      <c r="F21" s="1172">
        <v>495</v>
      </c>
      <c r="G21" s="1172">
        <v>500</v>
      </c>
      <c r="H21" s="1172">
        <v>500</v>
      </c>
      <c r="I21" s="1172">
        <v>500</v>
      </c>
      <c r="J21" s="1172">
        <v>500</v>
      </c>
      <c r="K21" s="1172">
        <v>500</v>
      </c>
    </row>
    <row r="22" spans="1:11" ht="12.75">
      <c r="A22" s="456">
        <v>14</v>
      </c>
      <c r="B22" s="457">
        <v>4</v>
      </c>
      <c r="C22" s="492" t="s">
        <v>625</v>
      </c>
      <c r="D22" s="493"/>
      <c r="E22" s="157">
        <f aca="true" t="shared" si="6" ref="E22:K22">E23</f>
        <v>0</v>
      </c>
      <c r="F22" s="157">
        <f t="shared" si="6"/>
        <v>0</v>
      </c>
      <c r="G22" s="157">
        <f t="shared" si="6"/>
        <v>0</v>
      </c>
      <c r="H22" s="157">
        <f t="shared" si="6"/>
        <v>383.4</v>
      </c>
      <c r="I22" s="157">
        <f t="shared" si="6"/>
        <v>145.6</v>
      </c>
      <c r="J22" s="157">
        <f t="shared" si="6"/>
        <v>0</v>
      </c>
      <c r="K22" s="157">
        <f t="shared" si="6"/>
        <v>0</v>
      </c>
    </row>
    <row r="23" spans="1:11" ht="12.75">
      <c r="A23" s="462">
        <v>15</v>
      </c>
      <c r="B23" s="740" t="s">
        <v>626</v>
      </c>
      <c r="C23" s="498" t="s">
        <v>627</v>
      </c>
      <c r="D23" s="1166"/>
      <c r="E23" s="155">
        <f>E26</f>
        <v>0</v>
      </c>
      <c r="F23" s="155">
        <f aca="true" t="shared" si="7" ref="F23:K23">SUM(F24:F26)</f>
        <v>0</v>
      </c>
      <c r="G23" s="155">
        <f t="shared" si="7"/>
        <v>0</v>
      </c>
      <c r="H23" s="155">
        <f t="shared" si="7"/>
        <v>383.4</v>
      </c>
      <c r="I23" s="155">
        <f t="shared" si="7"/>
        <v>145.6</v>
      </c>
      <c r="J23" s="155">
        <f t="shared" si="7"/>
        <v>0</v>
      </c>
      <c r="K23" s="155">
        <f t="shared" si="7"/>
        <v>0</v>
      </c>
    </row>
    <row r="24" spans="1:11" ht="24">
      <c r="A24" s="1167">
        <v>16</v>
      </c>
      <c r="B24" s="1168"/>
      <c r="C24" s="1173" t="s">
        <v>219</v>
      </c>
      <c r="D24" s="1179" t="s">
        <v>628</v>
      </c>
      <c r="E24" s="532">
        <v>0</v>
      </c>
      <c r="F24" s="532">
        <v>0</v>
      </c>
      <c r="G24" s="532">
        <v>0</v>
      </c>
      <c r="H24" s="532">
        <v>271.4</v>
      </c>
      <c r="I24" s="532">
        <v>0</v>
      </c>
      <c r="J24" s="532">
        <v>0</v>
      </c>
      <c r="K24" s="532">
        <v>0</v>
      </c>
    </row>
    <row r="25" spans="1:11" ht="24.75" thickBot="1">
      <c r="A25" s="1174">
        <v>17</v>
      </c>
      <c r="B25" s="1175"/>
      <c r="C25" s="1176" t="s">
        <v>219</v>
      </c>
      <c r="D25" s="643" t="s">
        <v>629</v>
      </c>
      <c r="E25" s="598">
        <v>0</v>
      </c>
      <c r="F25" s="598">
        <v>0</v>
      </c>
      <c r="G25" s="598">
        <v>0</v>
      </c>
      <c r="H25" s="598">
        <v>112</v>
      </c>
      <c r="I25" s="598">
        <f>104*1.4</f>
        <v>145.6</v>
      </c>
      <c r="J25" s="598">
        <v>0</v>
      </c>
      <c r="K25" s="598">
        <v>0</v>
      </c>
    </row>
    <row r="27" spans="2:4" s="35" customFormat="1" ht="9.75">
      <c r="B27" s="29"/>
      <c r="D27" s="62"/>
    </row>
    <row r="28" spans="1:4" s="35" customFormat="1" ht="9.75">
      <c r="A28" s="69"/>
      <c r="B28" s="63"/>
      <c r="D28" s="62"/>
    </row>
    <row r="29" spans="1:11" s="35" customFormat="1" ht="15" thickBot="1">
      <c r="A29" s="15"/>
      <c r="B29" s="85" t="s">
        <v>237</v>
      </c>
      <c r="C29"/>
      <c r="D29"/>
      <c r="E29"/>
      <c r="F29"/>
      <c r="G29"/>
      <c r="H29"/>
      <c r="I29"/>
      <c r="J29"/>
      <c r="K29"/>
    </row>
    <row r="30" spans="1:11" s="35" customFormat="1" ht="15.75" thickBot="1">
      <c r="A30" s="1464" t="s">
        <v>9</v>
      </c>
      <c r="B30" s="1465"/>
      <c r="C30" s="1465"/>
      <c r="D30" s="1465"/>
      <c r="E30" s="123" t="s">
        <v>262</v>
      </c>
      <c r="F30" s="123" t="s">
        <v>262</v>
      </c>
      <c r="G30" s="51" t="s">
        <v>263</v>
      </c>
      <c r="H30" s="51" t="s">
        <v>216</v>
      </c>
      <c r="I30" s="139" t="s">
        <v>12</v>
      </c>
      <c r="J30" s="128" t="s">
        <v>12</v>
      </c>
      <c r="K30" s="127" t="s">
        <v>12</v>
      </c>
    </row>
    <row r="31" spans="1:11" s="35" customFormat="1" ht="11.25">
      <c r="A31" s="1539"/>
      <c r="B31" s="1540"/>
      <c r="C31" s="1540"/>
      <c r="D31" s="1540"/>
      <c r="E31" s="80"/>
      <c r="F31" s="80"/>
      <c r="G31" s="125" t="s">
        <v>215</v>
      </c>
      <c r="H31" s="125" t="s">
        <v>217</v>
      </c>
      <c r="I31" s="140"/>
      <c r="J31" s="184" t="s">
        <v>320</v>
      </c>
      <c r="K31" s="184" t="s">
        <v>320</v>
      </c>
    </row>
    <row r="32" spans="1:11" s="35" customFormat="1" ht="15.75">
      <c r="A32" s="1466" t="s">
        <v>467</v>
      </c>
      <c r="B32" s="1468" t="s">
        <v>468</v>
      </c>
      <c r="C32" s="1468" t="s">
        <v>469</v>
      </c>
      <c r="D32" s="1470" t="s">
        <v>5</v>
      </c>
      <c r="E32" s="124" t="s">
        <v>272</v>
      </c>
      <c r="F32" s="124" t="s">
        <v>284</v>
      </c>
      <c r="G32" s="126">
        <v>2023</v>
      </c>
      <c r="H32" s="82" t="s">
        <v>332</v>
      </c>
      <c r="I32" s="141">
        <v>2024</v>
      </c>
      <c r="J32" s="130" t="s">
        <v>421</v>
      </c>
      <c r="K32" s="129">
        <v>2026</v>
      </c>
    </row>
    <row r="33" spans="1:11" s="35" customFormat="1" ht="12" thickBot="1">
      <c r="A33" s="1467"/>
      <c r="B33" s="1469"/>
      <c r="C33" s="1469"/>
      <c r="D33" s="1471"/>
      <c r="E33" s="83" t="s">
        <v>207</v>
      </c>
      <c r="F33" s="83" t="s">
        <v>207</v>
      </c>
      <c r="G33" s="84" t="s">
        <v>207</v>
      </c>
      <c r="H33" s="84" t="s">
        <v>207</v>
      </c>
      <c r="I33" s="142" t="s">
        <v>207</v>
      </c>
      <c r="J33" s="132" t="s">
        <v>207</v>
      </c>
      <c r="K33" s="131" t="s">
        <v>207</v>
      </c>
    </row>
    <row r="34" spans="1:11" s="35" customFormat="1" ht="13.5" thickBot="1" thickTop="1">
      <c r="A34" s="456">
        <v>1</v>
      </c>
      <c r="B34" s="459" t="s">
        <v>115</v>
      </c>
      <c r="C34" s="738"/>
      <c r="D34" s="477"/>
      <c r="E34" s="739">
        <f>E35</f>
        <v>0</v>
      </c>
      <c r="F34" s="739">
        <f aca="true" t="shared" si="8" ref="F34:K34">F35</f>
        <v>0</v>
      </c>
      <c r="G34" s="739">
        <f t="shared" si="8"/>
        <v>0</v>
      </c>
      <c r="H34" s="739">
        <f t="shared" si="8"/>
        <v>0</v>
      </c>
      <c r="I34" s="739">
        <f t="shared" si="8"/>
        <v>5000</v>
      </c>
      <c r="J34" s="739">
        <f t="shared" si="8"/>
        <v>0</v>
      </c>
      <c r="K34" s="739">
        <f t="shared" si="8"/>
        <v>0</v>
      </c>
    </row>
    <row r="35" spans="1:11" ht="13.5" thickTop="1">
      <c r="A35" s="462">
        <v>2</v>
      </c>
      <c r="B35" s="483">
        <v>2</v>
      </c>
      <c r="C35" s="484" t="s">
        <v>116</v>
      </c>
      <c r="D35" s="458"/>
      <c r="E35" s="109">
        <f aca="true" t="shared" si="9" ref="E35:K35">E36</f>
        <v>0</v>
      </c>
      <c r="F35" s="109">
        <f t="shared" si="9"/>
        <v>0</v>
      </c>
      <c r="G35" s="109">
        <f t="shared" si="9"/>
        <v>0</v>
      </c>
      <c r="H35" s="109">
        <f t="shared" si="9"/>
        <v>0</v>
      </c>
      <c r="I35" s="109">
        <f t="shared" si="9"/>
        <v>5000</v>
      </c>
      <c r="J35" s="109">
        <f t="shared" si="9"/>
        <v>0</v>
      </c>
      <c r="K35" s="109">
        <f t="shared" si="9"/>
        <v>0</v>
      </c>
    </row>
    <row r="36" spans="1:11" ht="12.75">
      <c r="A36" s="462">
        <v>3</v>
      </c>
      <c r="B36" s="724" t="s">
        <v>200</v>
      </c>
      <c r="C36" s="495" t="s">
        <v>116</v>
      </c>
      <c r="D36" s="1088"/>
      <c r="E36" s="158">
        <f aca="true" t="shared" si="10" ref="E36:K36">SUM(E37:E37)</f>
        <v>0</v>
      </c>
      <c r="F36" s="158">
        <f t="shared" si="10"/>
        <v>0</v>
      </c>
      <c r="G36" s="158">
        <f t="shared" si="10"/>
        <v>0</v>
      </c>
      <c r="H36" s="158">
        <f t="shared" si="10"/>
        <v>0</v>
      </c>
      <c r="I36" s="158">
        <f t="shared" si="10"/>
        <v>5000</v>
      </c>
      <c r="J36" s="158">
        <f t="shared" si="10"/>
        <v>0</v>
      </c>
      <c r="K36" s="158">
        <f t="shared" si="10"/>
        <v>0</v>
      </c>
    </row>
    <row r="37" spans="1:13" ht="24.75" thickBot="1">
      <c r="A37" s="734">
        <v>4</v>
      </c>
      <c r="B37" s="1094"/>
      <c r="C37" s="1180" t="s">
        <v>222</v>
      </c>
      <c r="D37" s="940" t="s">
        <v>597</v>
      </c>
      <c r="E37" s="1181">
        <v>0</v>
      </c>
      <c r="F37" s="1181">
        <v>0</v>
      </c>
      <c r="G37" s="1181">
        <v>0</v>
      </c>
      <c r="H37" s="1181">
        <v>0</v>
      </c>
      <c r="I37" s="1181">
        <v>5000</v>
      </c>
      <c r="J37" s="1181">
        <v>0</v>
      </c>
      <c r="K37" s="1181">
        <v>0</v>
      </c>
      <c r="L37" s="406" t="s">
        <v>659</v>
      </c>
      <c r="M37" s="406"/>
    </row>
  </sheetData>
  <sheetProtection/>
  <mergeCells count="12">
    <mergeCell ref="A2:D2"/>
    <mergeCell ref="A3:D3"/>
    <mergeCell ref="A4:A5"/>
    <mergeCell ref="B4:B5"/>
    <mergeCell ref="C4:C5"/>
    <mergeCell ref="D4:D5"/>
    <mergeCell ref="A30:D30"/>
    <mergeCell ref="A31:D31"/>
    <mergeCell ref="A32:A33"/>
    <mergeCell ref="B32:B33"/>
    <mergeCell ref="C32:C33"/>
    <mergeCell ref="D32:D3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5.421875" style="0" customWidth="1"/>
    <col min="4" max="4" width="27.28125" style="0" customWidth="1"/>
    <col min="5" max="11" width="10.421875" style="0" bestFit="1" customWidth="1"/>
  </cols>
  <sheetData>
    <row r="1" spans="1:4" ht="15" thickBot="1">
      <c r="A1" s="15"/>
      <c r="B1" s="85" t="s">
        <v>238</v>
      </c>
      <c r="C1" s="3"/>
      <c r="D1" s="3"/>
    </row>
    <row r="2" spans="1:11" ht="15.75" thickBot="1">
      <c r="A2" s="1464" t="s">
        <v>10</v>
      </c>
      <c r="B2" s="1465"/>
      <c r="C2" s="1465"/>
      <c r="D2" s="1528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25"/>
      <c r="B3" s="1541"/>
      <c r="C3" s="1540"/>
      <c r="D3" s="1542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s="121" customFormat="1" ht="14.25" thickBot="1" thickTop="1">
      <c r="A6" s="1046">
        <v>1</v>
      </c>
      <c r="B6" s="459" t="s">
        <v>120</v>
      </c>
      <c r="C6" s="738"/>
      <c r="D6" s="856"/>
      <c r="E6" s="1182">
        <f aca="true" t="shared" si="0" ref="E6:K7">E7</f>
        <v>194269.24</v>
      </c>
      <c r="F6" s="1182">
        <f t="shared" si="0"/>
        <v>202524.08999999994</v>
      </c>
      <c r="G6" s="1182">
        <f t="shared" si="0"/>
        <v>269454</v>
      </c>
      <c r="H6" s="1182">
        <f t="shared" si="0"/>
        <v>267972.35</v>
      </c>
      <c r="I6" s="1182">
        <f t="shared" si="0"/>
        <v>324382.5</v>
      </c>
      <c r="J6" s="1182">
        <f t="shared" si="0"/>
        <v>321580.5</v>
      </c>
      <c r="K6" s="1182">
        <f t="shared" si="0"/>
        <v>322010.5</v>
      </c>
    </row>
    <row r="7" spans="1:11" s="121" customFormat="1" ht="13.5" thickTop="1">
      <c r="A7" s="470">
        <v>2</v>
      </c>
      <c r="B7" s="457">
        <v>1</v>
      </c>
      <c r="C7" s="478" t="s">
        <v>95</v>
      </c>
      <c r="D7" s="1138"/>
      <c r="E7" s="1183">
        <f>E8+E44+E46</f>
        <v>194269.24</v>
      </c>
      <c r="F7" s="1183">
        <f>F8</f>
        <v>202524.08999999994</v>
      </c>
      <c r="G7" s="1183">
        <f t="shared" si="0"/>
        <v>269454</v>
      </c>
      <c r="H7" s="1183">
        <f t="shared" si="0"/>
        <v>267972.35</v>
      </c>
      <c r="I7" s="1183">
        <f>I8+I44+I46</f>
        <v>324382.5</v>
      </c>
      <c r="J7" s="1183">
        <f>J8+J44+J46</f>
        <v>321580.5</v>
      </c>
      <c r="K7" s="1183">
        <f>K8+K44+K46</f>
        <v>322010.5</v>
      </c>
    </row>
    <row r="8" spans="1:11" s="121" customFormat="1" ht="12.75">
      <c r="A8" s="470">
        <v>3</v>
      </c>
      <c r="B8" s="1255" t="s">
        <v>185</v>
      </c>
      <c r="C8" s="1130" t="s">
        <v>354</v>
      </c>
      <c r="D8" s="1131"/>
      <c r="E8" s="745">
        <f>E9+E10+E11+E17+E18+E24+E25+E26+E27+E28+E29+E30+E31+E32+E33+E34+E35+E36+E38+E39+E41+E37</f>
        <v>190615.53</v>
      </c>
      <c r="F8" s="745">
        <f>F9+F10+F11+F18+F25+F26+F27+F28+F29+F30+F31+F32+F33+F34+F35+F36+F37+F38+F39+F41+F44+F46</f>
        <v>202524.08999999994</v>
      </c>
      <c r="G8" s="745">
        <f>G9+G10+G11+G18+G25+G26+G27+G28+G29+G30+G31+G32+G33+G34+G35+G36+G37+G38+G39+G41+G44+G46</f>
        <v>269454</v>
      </c>
      <c r="H8" s="745">
        <f>H9+H10+H11+H18+H25+H26+H27+H28+H29+H30+H31+H32+H33+H34+H35+H36+H37+H38+H39+H41+H44+H46+H42+H43</f>
        <v>267972.35</v>
      </c>
      <c r="I8" s="745">
        <f>I9+I10+I11+I18+I25+I26+I27+I28+I29+I30+I31+I32+I33+I34+I35+I36+I37+I38+I39+I41+I42+I43+I40</f>
        <v>321252.5</v>
      </c>
      <c r="J8" s="745">
        <f>J9+J10+J11+J18+J25+J26+J27+J28+J29+J30+J31+J32+J33+J34+J35+J36+J37+J38+J39+J41+J42+J43+J40</f>
        <v>318540.5</v>
      </c>
      <c r="K8" s="745">
        <f>K9+K10+K11+K18+K25+K26+K27+K28+K29+K30+K31+K32+K33+K34+K35+K36+K37+K38+K39+K41+K42+K43+K40</f>
        <v>319040.5</v>
      </c>
    </row>
    <row r="9" spans="1:17" s="121" customFormat="1" ht="36">
      <c r="A9" s="1046">
        <v>4</v>
      </c>
      <c r="B9" s="730"/>
      <c r="C9" s="1005" t="s">
        <v>233</v>
      </c>
      <c r="D9" s="1152" t="s">
        <v>748</v>
      </c>
      <c r="E9" s="1184">
        <v>104430.17</v>
      </c>
      <c r="F9" s="1184">
        <v>99406.09</v>
      </c>
      <c r="G9" s="1184">
        <v>115000</v>
      </c>
      <c r="H9" s="1184">
        <v>100000</v>
      </c>
      <c r="I9" s="1184">
        <v>150000</v>
      </c>
      <c r="J9" s="1184">
        <v>150000</v>
      </c>
      <c r="K9" s="1184">
        <v>150000</v>
      </c>
      <c r="L9" s="162"/>
      <c r="O9" s="178"/>
      <c r="P9" s="178"/>
      <c r="Q9" s="178"/>
    </row>
    <row r="10" spans="1:17" s="121" customFormat="1" ht="13.5" thickBot="1">
      <c r="A10" s="470">
        <v>5</v>
      </c>
      <c r="B10" s="1185"/>
      <c r="C10" s="1186" t="s">
        <v>234</v>
      </c>
      <c r="D10" s="1149" t="s">
        <v>325</v>
      </c>
      <c r="E10" s="906">
        <v>35099.33</v>
      </c>
      <c r="F10" s="906">
        <v>32770.14</v>
      </c>
      <c r="G10" s="906">
        <v>40192.5</v>
      </c>
      <c r="H10" s="906">
        <f>H9*0.3495</f>
        <v>34950</v>
      </c>
      <c r="I10" s="1184">
        <f>I9*0.3495</f>
        <v>52425</v>
      </c>
      <c r="J10" s="906">
        <f>J9*0.3495</f>
        <v>52425</v>
      </c>
      <c r="K10" s="906">
        <f>K9*0.3495</f>
        <v>52425</v>
      </c>
      <c r="O10" s="178"/>
      <c r="P10" s="178"/>
      <c r="Q10" s="178"/>
    </row>
    <row r="11" spans="1:17" s="121" customFormat="1" ht="13.5" thickBot="1">
      <c r="A11" s="1046">
        <v>6</v>
      </c>
      <c r="B11" s="1187"/>
      <c r="C11" s="1188"/>
      <c r="D11" s="1189" t="s">
        <v>614</v>
      </c>
      <c r="E11" s="1190">
        <f>E12+E13+E14+E15+E16+E17</f>
        <v>2922.13</v>
      </c>
      <c r="F11" s="1190">
        <f aca="true" t="shared" si="1" ref="F11:K11">SUM(F12:F17)</f>
        <v>9301.57</v>
      </c>
      <c r="G11" s="1190">
        <f t="shared" si="1"/>
        <v>9660</v>
      </c>
      <c r="H11" s="1190">
        <f t="shared" si="1"/>
        <v>18716.18</v>
      </c>
      <c r="I11" s="1190">
        <f t="shared" si="1"/>
        <v>9660</v>
      </c>
      <c r="J11" s="1190">
        <f t="shared" si="1"/>
        <v>9660</v>
      </c>
      <c r="K11" s="1190">
        <f t="shared" si="1"/>
        <v>9660</v>
      </c>
      <c r="M11" s="165"/>
      <c r="O11" s="178"/>
      <c r="P11" s="178"/>
      <c r="Q11" s="178"/>
    </row>
    <row r="12" spans="1:17" s="121" customFormat="1" ht="12.75">
      <c r="A12" s="470">
        <v>7</v>
      </c>
      <c r="B12" s="730"/>
      <c r="C12" s="1005" t="s">
        <v>218</v>
      </c>
      <c r="D12" s="1191" t="s">
        <v>405</v>
      </c>
      <c r="E12" s="1192">
        <v>1108.96</v>
      </c>
      <c r="F12" s="1192">
        <v>1176.73</v>
      </c>
      <c r="G12" s="1193">
        <v>4000</v>
      </c>
      <c r="H12" s="1193">
        <v>4000</v>
      </c>
      <c r="I12" s="1193">
        <v>4000</v>
      </c>
      <c r="J12" s="1193">
        <v>4000</v>
      </c>
      <c r="K12" s="1193">
        <v>4000</v>
      </c>
      <c r="O12" s="178"/>
      <c r="P12" s="178"/>
      <c r="Q12" s="178"/>
    </row>
    <row r="13" spans="1:11" s="121" customFormat="1" ht="12.75">
      <c r="A13" s="470">
        <v>8</v>
      </c>
      <c r="B13" s="730"/>
      <c r="C13" s="1005" t="s">
        <v>218</v>
      </c>
      <c r="D13" s="1223" t="s">
        <v>692</v>
      </c>
      <c r="E13" s="1195">
        <v>697.71</v>
      </c>
      <c r="F13" s="1195">
        <v>718.44</v>
      </c>
      <c r="G13" s="1193">
        <v>2400</v>
      </c>
      <c r="H13" s="1195">
        <v>2400</v>
      </c>
      <c r="I13" s="1193">
        <v>2400</v>
      </c>
      <c r="J13" s="1193">
        <v>2400</v>
      </c>
      <c r="K13" s="1193">
        <v>2400</v>
      </c>
    </row>
    <row r="14" spans="1:11" s="121" customFormat="1" ht="12.75">
      <c r="A14" s="1046">
        <v>9</v>
      </c>
      <c r="B14" s="487"/>
      <c r="C14" s="905" t="s">
        <v>218</v>
      </c>
      <c r="D14" s="1194" t="s">
        <v>406</v>
      </c>
      <c r="E14" s="1195">
        <v>394.29</v>
      </c>
      <c r="F14" s="1195">
        <v>386.64</v>
      </c>
      <c r="G14" s="1193">
        <v>1400</v>
      </c>
      <c r="H14" s="1195">
        <v>1400</v>
      </c>
      <c r="I14" s="1193">
        <v>1400</v>
      </c>
      <c r="J14" s="1193">
        <v>1400</v>
      </c>
      <c r="K14" s="1193">
        <v>1400</v>
      </c>
    </row>
    <row r="15" spans="1:11" s="121" customFormat="1" ht="12.75">
      <c r="A15" s="1046">
        <v>10</v>
      </c>
      <c r="B15" s="490"/>
      <c r="C15" s="1005" t="s">
        <v>218</v>
      </c>
      <c r="D15" s="1191" t="s">
        <v>458</v>
      </c>
      <c r="E15" s="1196">
        <v>397.36</v>
      </c>
      <c r="F15" s="1196">
        <v>400.08</v>
      </c>
      <c r="G15" s="1193">
        <v>1050</v>
      </c>
      <c r="H15" s="1193">
        <v>0</v>
      </c>
      <c r="I15" s="1193">
        <v>1050</v>
      </c>
      <c r="J15" s="1193">
        <v>1050</v>
      </c>
      <c r="K15" s="1193">
        <v>1050</v>
      </c>
    </row>
    <row r="16" spans="1:11" s="121" customFormat="1" ht="12.75">
      <c r="A16" s="1046">
        <v>11</v>
      </c>
      <c r="B16" s="487"/>
      <c r="C16" s="905" t="s">
        <v>218</v>
      </c>
      <c r="D16" s="1191" t="s">
        <v>407</v>
      </c>
      <c r="E16" s="1197">
        <v>323.81</v>
      </c>
      <c r="F16" s="1197">
        <v>388.62</v>
      </c>
      <c r="G16" s="1193">
        <v>810</v>
      </c>
      <c r="H16" s="1195">
        <v>810</v>
      </c>
      <c r="I16" s="1193">
        <v>810</v>
      </c>
      <c r="J16" s="1193">
        <v>810</v>
      </c>
      <c r="K16" s="1193">
        <v>810</v>
      </c>
    </row>
    <row r="17" spans="1:11" s="121" customFormat="1" ht="13.5" thickBot="1">
      <c r="A17" s="470">
        <v>12</v>
      </c>
      <c r="B17" s="754"/>
      <c r="C17" s="911" t="s">
        <v>218</v>
      </c>
      <c r="D17" s="1198" t="s">
        <v>241</v>
      </c>
      <c r="E17" s="1199">
        <v>0</v>
      </c>
      <c r="F17" s="1199">
        <v>6231.06</v>
      </c>
      <c r="G17" s="941">
        <v>0</v>
      </c>
      <c r="H17" s="941">
        <v>10106.18</v>
      </c>
      <c r="I17" s="941">
        <v>0</v>
      </c>
      <c r="J17" s="941">
        <v>0</v>
      </c>
      <c r="K17" s="941">
        <v>0</v>
      </c>
    </row>
    <row r="18" spans="1:13" s="121" customFormat="1" ht="13.5" thickBot="1">
      <c r="A18" s="470">
        <v>13</v>
      </c>
      <c r="B18" s="1187"/>
      <c r="C18" s="1188"/>
      <c r="D18" s="1189" t="s">
        <v>615</v>
      </c>
      <c r="E18" s="1190">
        <f>E19+E20+E21+E22+E23</f>
        <v>13417.47</v>
      </c>
      <c r="F18" s="1190">
        <f aca="true" t="shared" si="2" ref="F18:K18">SUM(F19:F24)</f>
        <v>22217.550000000003</v>
      </c>
      <c r="G18" s="1190">
        <f t="shared" si="2"/>
        <v>64252</v>
      </c>
      <c r="H18" s="1190">
        <f t="shared" si="2"/>
        <v>61006</v>
      </c>
      <c r="I18" s="1190">
        <f t="shared" si="2"/>
        <v>61006</v>
      </c>
      <c r="J18" s="1190">
        <f t="shared" si="2"/>
        <v>61006</v>
      </c>
      <c r="K18" s="1190">
        <f t="shared" si="2"/>
        <v>61006</v>
      </c>
      <c r="M18" s="165"/>
    </row>
    <row r="19" spans="1:11" s="121" customFormat="1" ht="12.75">
      <c r="A19" s="1046">
        <v>14</v>
      </c>
      <c r="B19" s="730"/>
      <c r="C19" s="1005" t="s">
        <v>218</v>
      </c>
      <c r="D19" s="1191" t="s">
        <v>405</v>
      </c>
      <c r="E19" s="1192">
        <v>6684</v>
      </c>
      <c r="F19" s="1192">
        <v>7536</v>
      </c>
      <c r="G19" s="1193">
        <v>24000</v>
      </c>
      <c r="H19" s="1193">
        <v>25388</v>
      </c>
      <c r="I19" s="1193">
        <v>25388</v>
      </c>
      <c r="J19" s="1193">
        <v>25388</v>
      </c>
      <c r="K19" s="1193">
        <v>25388</v>
      </c>
    </row>
    <row r="20" spans="1:11" s="121" customFormat="1" ht="12.75">
      <c r="A20" s="470">
        <v>15</v>
      </c>
      <c r="B20" s="1200"/>
      <c r="C20" s="905" t="s">
        <v>218</v>
      </c>
      <c r="D20" s="1194" t="s">
        <v>692</v>
      </c>
      <c r="E20" s="1193">
        <v>3192</v>
      </c>
      <c r="F20" s="1193">
        <v>4328</v>
      </c>
      <c r="G20" s="1193">
        <v>14200</v>
      </c>
      <c r="H20" s="1193">
        <v>18799</v>
      </c>
      <c r="I20" s="1193">
        <v>18799</v>
      </c>
      <c r="J20" s="1193">
        <v>18799</v>
      </c>
      <c r="K20" s="1193">
        <v>18799</v>
      </c>
    </row>
    <row r="21" spans="1:11" s="121" customFormat="1" ht="12.75">
      <c r="A21" s="470">
        <v>16</v>
      </c>
      <c r="B21" s="487"/>
      <c r="C21" s="905" t="s">
        <v>218</v>
      </c>
      <c r="D21" s="1194" t="s">
        <v>406</v>
      </c>
      <c r="E21" s="1195">
        <v>2007.08</v>
      </c>
      <c r="F21" s="1195">
        <v>2186.19</v>
      </c>
      <c r="G21" s="1193">
        <v>9552</v>
      </c>
      <c r="H21" s="1195">
        <v>11594</v>
      </c>
      <c r="I21" s="1193">
        <v>11594</v>
      </c>
      <c r="J21" s="1193">
        <v>11594</v>
      </c>
      <c r="K21" s="1193">
        <v>11594</v>
      </c>
    </row>
    <row r="22" spans="1:11" s="121" customFormat="1" ht="12.75">
      <c r="A22" s="1046">
        <v>17</v>
      </c>
      <c r="B22" s="487"/>
      <c r="C22" s="905" t="s">
        <v>218</v>
      </c>
      <c r="D22" s="1191" t="s">
        <v>458</v>
      </c>
      <c r="E22" s="1197">
        <v>200.75</v>
      </c>
      <c r="F22" s="1197">
        <v>0</v>
      </c>
      <c r="G22" s="1193">
        <v>0</v>
      </c>
      <c r="H22" s="1195">
        <v>0</v>
      </c>
      <c r="I22" s="1193">
        <v>0</v>
      </c>
      <c r="J22" s="1193">
        <v>0</v>
      </c>
      <c r="K22" s="1193">
        <v>0</v>
      </c>
    </row>
    <row r="23" spans="1:13" s="121" customFormat="1" ht="12.75">
      <c r="A23" s="1201">
        <v>18</v>
      </c>
      <c r="B23" s="1202"/>
      <c r="C23" s="1203" t="s">
        <v>218</v>
      </c>
      <c r="D23" s="1191" t="s">
        <v>407</v>
      </c>
      <c r="E23" s="1204">
        <v>1333.64</v>
      </c>
      <c r="F23" s="1204">
        <v>3742</v>
      </c>
      <c r="G23" s="1193">
        <v>16500</v>
      </c>
      <c r="H23" s="1205">
        <v>5225</v>
      </c>
      <c r="I23" s="1193">
        <v>5225</v>
      </c>
      <c r="J23" s="1193">
        <v>5225</v>
      </c>
      <c r="K23" s="1193">
        <v>5225</v>
      </c>
      <c r="L23" s="224"/>
      <c r="M23" s="224"/>
    </row>
    <row r="24" spans="1:11" s="121" customFormat="1" ht="13.5" thickBot="1">
      <c r="A24" s="470">
        <v>19</v>
      </c>
      <c r="B24" s="1206"/>
      <c r="C24" s="1186" t="s">
        <v>218</v>
      </c>
      <c r="D24" s="1207" t="s">
        <v>240</v>
      </c>
      <c r="E24" s="1208">
        <v>0</v>
      </c>
      <c r="F24" s="1208">
        <v>4425.36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</row>
    <row r="25" spans="1:11" s="121" customFormat="1" ht="13.5" thickBot="1">
      <c r="A25" s="470">
        <v>20</v>
      </c>
      <c r="B25" s="1209"/>
      <c r="C25" s="1210" t="s">
        <v>218</v>
      </c>
      <c r="D25" s="1211" t="s">
        <v>126</v>
      </c>
      <c r="E25" s="1212">
        <v>423.28</v>
      </c>
      <c r="F25" s="1212">
        <v>605.69</v>
      </c>
      <c r="G25" s="1213">
        <v>800</v>
      </c>
      <c r="H25" s="1213">
        <v>800</v>
      </c>
      <c r="I25" s="1213">
        <v>800</v>
      </c>
      <c r="J25" s="1213">
        <v>800</v>
      </c>
      <c r="K25" s="1213">
        <v>800</v>
      </c>
    </row>
    <row r="26" spans="1:11" s="121" customFormat="1" ht="12.75">
      <c r="A26" s="470">
        <v>21</v>
      </c>
      <c r="B26" s="730"/>
      <c r="C26" s="1017" t="s">
        <v>218</v>
      </c>
      <c r="D26" s="1145" t="s">
        <v>323</v>
      </c>
      <c r="E26" s="1184">
        <v>2955.19</v>
      </c>
      <c r="F26" s="1184">
        <v>2954.15</v>
      </c>
      <c r="G26" s="1184">
        <v>3000</v>
      </c>
      <c r="H26" s="1184">
        <v>3000</v>
      </c>
      <c r="I26" s="1184">
        <v>3000</v>
      </c>
      <c r="J26" s="1184">
        <v>3000</v>
      </c>
      <c r="K26" s="1184">
        <v>3000</v>
      </c>
    </row>
    <row r="27" spans="1:11" s="121" customFormat="1" ht="12.75">
      <c r="A27" s="1046">
        <v>22</v>
      </c>
      <c r="B27" s="727"/>
      <c r="C27" s="905" t="s">
        <v>218</v>
      </c>
      <c r="D27" s="1149" t="s">
        <v>324</v>
      </c>
      <c r="E27" s="1184">
        <v>4230.2</v>
      </c>
      <c r="F27" s="1184">
        <v>3121</v>
      </c>
      <c r="G27" s="1184">
        <v>3200</v>
      </c>
      <c r="H27" s="1184">
        <v>3200</v>
      </c>
      <c r="I27" s="1184">
        <v>3200</v>
      </c>
      <c r="J27" s="1184">
        <v>3500</v>
      </c>
      <c r="K27" s="1184">
        <v>4000</v>
      </c>
    </row>
    <row r="28" spans="1:11" s="121" customFormat="1" ht="50.25" customHeight="1">
      <c r="A28" s="470">
        <v>23</v>
      </c>
      <c r="B28" s="727"/>
      <c r="C28" s="1005" t="s">
        <v>218</v>
      </c>
      <c r="D28" s="1146" t="s">
        <v>767</v>
      </c>
      <c r="E28" s="1184">
        <v>2109.77</v>
      </c>
      <c r="F28" s="1184">
        <v>4382.17</v>
      </c>
      <c r="G28" s="1184">
        <v>4000</v>
      </c>
      <c r="H28" s="1184">
        <v>5000</v>
      </c>
      <c r="I28" s="1184">
        <v>4000</v>
      </c>
      <c r="J28" s="1184">
        <v>4000</v>
      </c>
      <c r="K28" s="1184">
        <v>4000</v>
      </c>
    </row>
    <row r="29" spans="1:11" s="121" customFormat="1" ht="36">
      <c r="A29" s="1046">
        <v>24</v>
      </c>
      <c r="B29" s="727"/>
      <c r="C29" s="1005" t="s">
        <v>218</v>
      </c>
      <c r="D29" s="1146" t="s">
        <v>599</v>
      </c>
      <c r="E29" s="1184">
        <v>396.4</v>
      </c>
      <c r="F29" s="1184">
        <v>335.8</v>
      </c>
      <c r="G29" s="1184">
        <v>200</v>
      </c>
      <c r="H29" s="1184">
        <v>200</v>
      </c>
      <c r="I29" s="1184">
        <v>200</v>
      </c>
      <c r="J29" s="1184">
        <v>200</v>
      </c>
      <c r="K29" s="1184">
        <v>200</v>
      </c>
    </row>
    <row r="30" spans="1:11" s="121" customFormat="1" ht="12.75">
      <c r="A30" s="470">
        <v>25</v>
      </c>
      <c r="B30" s="727"/>
      <c r="C30" s="1005" t="s">
        <v>218</v>
      </c>
      <c r="D30" s="1145" t="s">
        <v>157</v>
      </c>
      <c r="E30" s="1184">
        <v>470</v>
      </c>
      <c r="F30" s="1184">
        <v>0</v>
      </c>
      <c r="G30" s="1184">
        <v>2000</v>
      </c>
      <c r="H30" s="1184">
        <v>2000</v>
      </c>
      <c r="I30" s="1184">
        <v>1500</v>
      </c>
      <c r="J30" s="1184">
        <v>2000</v>
      </c>
      <c r="K30" s="1184">
        <v>1500</v>
      </c>
    </row>
    <row r="31" spans="1:11" s="121" customFormat="1" ht="12.75">
      <c r="A31" s="470">
        <v>26</v>
      </c>
      <c r="B31" s="727"/>
      <c r="C31" s="1005" t="s">
        <v>218</v>
      </c>
      <c r="D31" s="1145" t="s">
        <v>117</v>
      </c>
      <c r="E31" s="1184">
        <v>287</v>
      </c>
      <c r="F31" s="1184">
        <v>0</v>
      </c>
      <c r="G31" s="1184">
        <v>2000</v>
      </c>
      <c r="H31" s="1184">
        <v>3000</v>
      </c>
      <c r="I31" s="1184">
        <v>1000</v>
      </c>
      <c r="J31" s="1184">
        <v>1500</v>
      </c>
      <c r="K31" s="1184">
        <v>1500</v>
      </c>
    </row>
    <row r="32" spans="1:11" s="121" customFormat="1" ht="12.75">
      <c r="A32" s="1046">
        <v>27</v>
      </c>
      <c r="B32" s="727"/>
      <c r="C32" s="905" t="s">
        <v>218</v>
      </c>
      <c r="D32" s="1149" t="s">
        <v>118</v>
      </c>
      <c r="E32" s="1184">
        <v>1152</v>
      </c>
      <c r="F32" s="1184">
        <v>250</v>
      </c>
      <c r="G32" s="1184">
        <v>1000</v>
      </c>
      <c r="H32" s="1184">
        <v>1000</v>
      </c>
      <c r="I32" s="1184">
        <v>1000</v>
      </c>
      <c r="J32" s="1184">
        <v>1000</v>
      </c>
      <c r="K32" s="1184">
        <v>1000</v>
      </c>
    </row>
    <row r="33" spans="1:11" s="121" customFormat="1" ht="12.75">
      <c r="A33" s="470">
        <v>28</v>
      </c>
      <c r="B33" s="504"/>
      <c r="C33" s="905" t="s">
        <v>218</v>
      </c>
      <c r="D33" s="1142" t="s">
        <v>281</v>
      </c>
      <c r="E33" s="1184">
        <v>410.88</v>
      </c>
      <c r="F33" s="1184">
        <v>911.05</v>
      </c>
      <c r="G33" s="1184">
        <v>600</v>
      </c>
      <c r="H33" s="1184">
        <v>600</v>
      </c>
      <c r="I33" s="1184">
        <v>600</v>
      </c>
      <c r="J33" s="1184">
        <v>600</v>
      </c>
      <c r="K33" s="1184">
        <v>600</v>
      </c>
    </row>
    <row r="34" spans="1:11" s="121" customFormat="1" ht="12.75">
      <c r="A34" s="470">
        <v>29</v>
      </c>
      <c r="B34" s="964"/>
      <c r="C34" s="1203" t="s">
        <v>218</v>
      </c>
      <c r="D34" s="1214" t="s">
        <v>321</v>
      </c>
      <c r="E34" s="1184">
        <v>3281.8</v>
      </c>
      <c r="F34" s="1184">
        <v>6101.1</v>
      </c>
      <c r="G34" s="1184">
        <v>4000</v>
      </c>
      <c r="H34" s="1184">
        <v>4000</v>
      </c>
      <c r="I34" s="1184">
        <v>4500</v>
      </c>
      <c r="J34" s="1184">
        <v>5000</v>
      </c>
      <c r="K34" s="1184">
        <v>5500</v>
      </c>
    </row>
    <row r="35" spans="1:11" s="121" customFormat="1" ht="12.75">
      <c r="A35" s="1046">
        <v>30</v>
      </c>
      <c r="B35" s="964"/>
      <c r="C35" s="1203" t="s">
        <v>218</v>
      </c>
      <c r="D35" s="1214" t="s">
        <v>322</v>
      </c>
      <c r="E35" s="1184">
        <v>2140.01</v>
      </c>
      <c r="F35" s="1184">
        <v>2404.1</v>
      </c>
      <c r="G35" s="1184">
        <v>2900</v>
      </c>
      <c r="H35" s="1184">
        <v>2900</v>
      </c>
      <c r="I35" s="1184">
        <v>3500</v>
      </c>
      <c r="J35" s="1184">
        <v>3500</v>
      </c>
      <c r="K35" s="1184">
        <v>3500</v>
      </c>
    </row>
    <row r="36" spans="1:11" s="121" customFormat="1" ht="12.75">
      <c r="A36" s="470">
        <v>31</v>
      </c>
      <c r="B36" s="964"/>
      <c r="C36" s="1203" t="s">
        <v>218</v>
      </c>
      <c r="D36" s="1214" t="s">
        <v>243</v>
      </c>
      <c r="E36" s="1184">
        <v>429.29</v>
      </c>
      <c r="F36" s="1184">
        <v>857.91</v>
      </c>
      <c r="G36" s="1184">
        <v>1000</v>
      </c>
      <c r="H36" s="1184">
        <v>1000</v>
      </c>
      <c r="I36" s="1184">
        <v>1000</v>
      </c>
      <c r="J36" s="1184">
        <v>1000</v>
      </c>
      <c r="K36" s="1184">
        <v>1000</v>
      </c>
    </row>
    <row r="37" spans="1:11" s="121" customFormat="1" ht="12.75">
      <c r="A37" s="1102" t="s">
        <v>717</v>
      </c>
      <c r="B37" s="964"/>
      <c r="C37" s="1203" t="s">
        <v>234</v>
      </c>
      <c r="D37" s="1214" t="s">
        <v>242</v>
      </c>
      <c r="E37" s="1184">
        <v>3.72</v>
      </c>
      <c r="F37" s="1184">
        <v>211.43</v>
      </c>
      <c r="G37" s="1184">
        <v>349.5</v>
      </c>
      <c r="H37" s="1184">
        <f>H36*0.3495</f>
        <v>349.5</v>
      </c>
      <c r="I37" s="1184">
        <f>I36*0.3495</f>
        <v>349.5</v>
      </c>
      <c r="J37" s="1184">
        <f>J36*0.3495</f>
        <v>349.5</v>
      </c>
      <c r="K37" s="1184">
        <f>K36*0.3495</f>
        <v>349.5</v>
      </c>
    </row>
    <row r="38" spans="1:11" s="121" customFormat="1" ht="12.75">
      <c r="A38" s="470">
        <v>33</v>
      </c>
      <c r="B38" s="964"/>
      <c r="C38" s="1203" t="s">
        <v>218</v>
      </c>
      <c r="D38" s="1214" t="s">
        <v>119</v>
      </c>
      <c r="E38" s="1184">
        <v>0</v>
      </c>
      <c r="F38" s="1184">
        <v>0</v>
      </c>
      <c r="G38" s="1184">
        <v>100</v>
      </c>
      <c r="H38" s="1184">
        <v>100</v>
      </c>
      <c r="I38" s="1184">
        <v>100</v>
      </c>
      <c r="J38" s="1184">
        <v>100</v>
      </c>
      <c r="K38" s="1184">
        <v>100</v>
      </c>
    </row>
    <row r="39" spans="1:11" s="121" customFormat="1" ht="60">
      <c r="A39" s="1046">
        <v>34</v>
      </c>
      <c r="B39" s="964"/>
      <c r="C39" s="1203" t="s">
        <v>218</v>
      </c>
      <c r="D39" s="1288" t="s">
        <v>746</v>
      </c>
      <c r="E39" s="1184">
        <v>12085.09</v>
      </c>
      <c r="F39" s="1184">
        <v>12338.83</v>
      </c>
      <c r="G39" s="1184">
        <v>12000</v>
      </c>
      <c r="H39" s="1184">
        <v>12000</v>
      </c>
      <c r="I39" s="1184">
        <v>12000</v>
      </c>
      <c r="J39" s="1184">
        <v>12000</v>
      </c>
      <c r="K39" s="1184">
        <v>12000</v>
      </c>
    </row>
    <row r="40" spans="1:11" s="121" customFormat="1" ht="36">
      <c r="A40" s="1046">
        <v>35</v>
      </c>
      <c r="B40" s="964"/>
      <c r="C40" s="1203" t="s">
        <v>218</v>
      </c>
      <c r="D40" s="1215" t="s">
        <v>751</v>
      </c>
      <c r="E40" s="1184">
        <v>0</v>
      </c>
      <c r="F40" s="1184">
        <v>0</v>
      </c>
      <c r="G40" s="1184">
        <v>0</v>
      </c>
      <c r="H40" s="1184">
        <v>0</v>
      </c>
      <c r="I40" s="1293">
        <v>4512</v>
      </c>
      <c r="J40" s="1184">
        <v>0</v>
      </c>
      <c r="K40" s="1184">
        <v>0</v>
      </c>
    </row>
    <row r="41" spans="1:11" s="121" customFormat="1" ht="12.75">
      <c r="A41" s="470">
        <v>36</v>
      </c>
      <c r="B41" s="964"/>
      <c r="C41" s="1203" t="s">
        <v>218</v>
      </c>
      <c r="D41" s="1214" t="s">
        <v>580</v>
      </c>
      <c r="E41" s="906">
        <v>4371.8</v>
      </c>
      <c r="F41" s="906">
        <v>1172.61</v>
      </c>
      <c r="G41" s="906">
        <v>0</v>
      </c>
      <c r="H41" s="906">
        <v>2038.17</v>
      </c>
      <c r="I41" s="906">
        <v>0</v>
      </c>
      <c r="J41" s="906">
        <v>0</v>
      </c>
      <c r="K41" s="906">
        <v>0</v>
      </c>
    </row>
    <row r="42" spans="1:11" s="121" customFormat="1" ht="24">
      <c r="A42" s="1046">
        <v>37</v>
      </c>
      <c r="B42" s="964"/>
      <c r="C42" s="1203" t="s">
        <v>218</v>
      </c>
      <c r="D42" s="1215" t="s">
        <v>579</v>
      </c>
      <c r="E42" s="906">
        <v>0</v>
      </c>
      <c r="F42" s="906">
        <v>0</v>
      </c>
      <c r="G42" s="906">
        <v>0</v>
      </c>
      <c r="H42" s="906">
        <v>8100</v>
      </c>
      <c r="I42" s="906">
        <f>(450*12)+1500</f>
        <v>6900</v>
      </c>
      <c r="J42" s="906">
        <f>(450*12)+1500</f>
        <v>6900</v>
      </c>
      <c r="K42" s="906">
        <f>(450*12)+1500</f>
        <v>6900</v>
      </c>
    </row>
    <row r="43" spans="1:11" s="121" customFormat="1" ht="12.75">
      <c r="A43" s="1046">
        <v>38</v>
      </c>
      <c r="B43" s="964"/>
      <c r="C43" s="1203" t="s">
        <v>218</v>
      </c>
      <c r="D43" s="1214" t="s">
        <v>273</v>
      </c>
      <c r="E43" s="906">
        <v>0</v>
      </c>
      <c r="F43" s="906">
        <v>0</v>
      </c>
      <c r="G43" s="906">
        <v>0</v>
      </c>
      <c r="H43" s="906">
        <v>812.5</v>
      </c>
      <c r="I43" s="906">
        <v>0</v>
      </c>
      <c r="J43" s="906">
        <v>0</v>
      </c>
      <c r="K43" s="906">
        <v>0</v>
      </c>
    </row>
    <row r="44" spans="1:11" s="121" customFormat="1" ht="12.75">
      <c r="A44" s="1046">
        <v>39</v>
      </c>
      <c r="B44" s="1256" t="s">
        <v>202</v>
      </c>
      <c r="C44" s="1216" t="s">
        <v>2</v>
      </c>
      <c r="D44" s="1217"/>
      <c r="E44" s="1218">
        <f aca="true" t="shared" si="3" ref="E44:J44">E45</f>
        <v>1727.08</v>
      </c>
      <c r="F44" s="1218">
        <f t="shared" si="3"/>
        <v>1654.02</v>
      </c>
      <c r="G44" s="1218">
        <f t="shared" si="3"/>
        <v>1600</v>
      </c>
      <c r="H44" s="1218">
        <f t="shared" si="3"/>
        <v>1600</v>
      </c>
      <c r="I44" s="1218">
        <f t="shared" si="3"/>
        <v>1530</v>
      </c>
      <c r="J44" s="1218">
        <f t="shared" si="3"/>
        <v>1440</v>
      </c>
      <c r="K44" s="1218">
        <f>K45</f>
        <v>1370</v>
      </c>
    </row>
    <row r="45" spans="1:11" s="121" customFormat="1" ht="12.75">
      <c r="A45" s="470">
        <v>40</v>
      </c>
      <c r="B45" s="407"/>
      <c r="C45" s="1203" t="s">
        <v>239</v>
      </c>
      <c r="D45" s="1214" t="s">
        <v>326</v>
      </c>
      <c r="E45" s="906">
        <v>1727.08</v>
      </c>
      <c r="F45" s="906">
        <v>1654.02</v>
      </c>
      <c r="G45" s="906">
        <v>1600</v>
      </c>
      <c r="H45" s="906">
        <v>1600</v>
      </c>
      <c r="I45" s="906">
        <v>1530</v>
      </c>
      <c r="J45" s="906">
        <v>1440</v>
      </c>
      <c r="K45" s="906">
        <v>1370</v>
      </c>
    </row>
    <row r="46" spans="1:11" s="121" customFormat="1" ht="12.75">
      <c r="A46" s="470">
        <v>41</v>
      </c>
      <c r="B46" s="105" t="s">
        <v>79</v>
      </c>
      <c r="C46" s="1130" t="s">
        <v>1</v>
      </c>
      <c r="D46" s="1219"/>
      <c r="E46" s="1220">
        <f aca="true" t="shared" si="4" ref="E46:K46">E47</f>
        <v>1926.63</v>
      </c>
      <c r="F46" s="1220">
        <f t="shared" si="4"/>
        <v>1528.88</v>
      </c>
      <c r="G46" s="1220">
        <f t="shared" si="4"/>
        <v>1600</v>
      </c>
      <c r="H46" s="1220">
        <f t="shared" si="4"/>
        <v>1600</v>
      </c>
      <c r="I46" s="1220">
        <f t="shared" si="4"/>
        <v>1600</v>
      </c>
      <c r="J46" s="1220">
        <f t="shared" si="4"/>
        <v>1600</v>
      </c>
      <c r="K46" s="1220">
        <f t="shared" si="4"/>
        <v>1600</v>
      </c>
    </row>
    <row r="47" spans="1:11" s="121" customFormat="1" ht="13.5" thickBot="1">
      <c r="A47" s="1221">
        <v>42</v>
      </c>
      <c r="B47" s="506"/>
      <c r="C47" s="735" t="s">
        <v>218</v>
      </c>
      <c r="D47" s="1222" t="s">
        <v>327</v>
      </c>
      <c r="E47" s="1208">
        <v>1926.63</v>
      </c>
      <c r="F47" s="1208">
        <v>1528.88</v>
      </c>
      <c r="G47" s="1208">
        <v>1600</v>
      </c>
      <c r="H47" s="1208">
        <v>1600</v>
      </c>
      <c r="I47" s="1208">
        <v>1600</v>
      </c>
      <c r="J47" s="1208">
        <v>1600</v>
      </c>
      <c r="K47" s="1208">
        <v>1600</v>
      </c>
    </row>
    <row r="48" spans="1:4" ht="15" customHeight="1">
      <c r="A48" s="15"/>
      <c r="B48" s="31"/>
      <c r="D48" s="20"/>
    </row>
    <row r="49" spans="1:4" s="35" customFormat="1" ht="9.75">
      <c r="A49" s="29"/>
      <c r="B49" s="59"/>
      <c r="D49" s="290" t="s">
        <v>616</v>
      </c>
    </row>
    <row r="50" spans="1:4" s="35" customFormat="1" ht="9.75">
      <c r="A50" s="29"/>
      <c r="B50" s="60"/>
      <c r="D50" s="162"/>
    </row>
    <row r="51" spans="1:4" s="35" customFormat="1" ht="9.75">
      <c r="A51" s="29"/>
      <c r="B51" s="59"/>
      <c r="D51" s="290"/>
    </row>
    <row r="52" spans="1:2" s="35" customFormat="1" ht="9.75">
      <c r="A52" s="29"/>
      <c r="B52" s="59"/>
    </row>
    <row r="53" spans="1:2" s="35" customFormat="1" ht="9.75">
      <c r="A53" s="29"/>
      <c r="B53" s="59"/>
    </row>
    <row r="54" spans="1:2" s="35" customFormat="1" ht="9.75">
      <c r="A54" s="29"/>
      <c r="B54" s="59"/>
    </row>
    <row r="55" spans="1:4" s="35" customFormat="1" ht="9.75">
      <c r="A55" s="29"/>
      <c r="B55" s="59"/>
      <c r="D55" s="290"/>
    </row>
    <row r="56" s="35" customFormat="1" ht="9.75">
      <c r="D56" s="59"/>
    </row>
    <row r="57" s="35" customFormat="1" ht="9.75"/>
    <row r="58" s="35" customFormat="1" ht="9.75"/>
    <row r="59" s="35" customFormat="1" ht="9.75"/>
  </sheetData>
  <sheetProtection/>
  <mergeCells count="6">
    <mergeCell ref="A2:D2"/>
    <mergeCell ref="B3:D3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L139"/>
  <sheetViews>
    <sheetView zoomScale="140" zoomScaleNormal="140" zoomScalePageLayoutView="0" workbookViewId="0" topLeftCell="A1">
      <pane ySplit="4" topLeftCell="A74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2.7109375" style="0" customWidth="1"/>
    <col min="2" max="2" width="28.57421875" style="0" customWidth="1"/>
    <col min="3" max="3" width="11.8515625" style="30" bestFit="1" customWidth="1"/>
    <col min="4" max="4" width="10.140625" style="30" bestFit="1" customWidth="1"/>
    <col min="5" max="5" width="10.00390625" style="0" bestFit="1" customWidth="1"/>
    <col min="6" max="6" width="10.140625" style="0" bestFit="1" customWidth="1"/>
    <col min="7" max="9" width="10.00390625" style="0" bestFit="1" customWidth="1"/>
    <col min="11" max="11" width="11.7109375" style="0" bestFit="1" customWidth="1"/>
    <col min="12" max="12" width="10.57421875" style="0" bestFit="1" customWidth="1"/>
  </cols>
  <sheetData>
    <row r="1" spans="1:9" ht="12.75">
      <c r="A1" s="1543" t="s">
        <v>244</v>
      </c>
      <c r="B1" s="1544"/>
      <c r="C1" s="219" t="s">
        <v>262</v>
      </c>
      <c r="D1" s="219" t="s">
        <v>262</v>
      </c>
      <c r="E1" s="51" t="s">
        <v>263</v>
      </c>
      <c r="F1" s="51" t="s">
        <v>216</v>
      </c>
      <c r="G1" s="139" t="s">
        <v>12</v>
      </c>
      <c r="H1" s="128" t="s">
        <v>12</v>
      </c>
      <c r="I1" s="127" t="s">
        <v>12</v>
      </c>
    </row>
    <row r="2" spans="1:9" ht="12.75">
      <c r="A2" s="1545"/>
      <c r="B2" s="1546"/>
      <c r="C2" s="216"/>
      <c r="D2" s="216"/>
      <c r="E2" s="125" t="s">
        <v>215</v>
      </c>
      <c r="F2" s="125" t="s">
        <v>217</v>
      </c>
      <c r="G2" s="140"/>
      <c r="H2" s="184" t="s">
        <v>320</v>
      </c>
      <c r="I2" s="184" t="s">
        <v>320</v>
      </c>
    </row>
    <row r="3" spans="1:9" ht="15.75">
      <c r="A3" s="1545"/>
      <c r="B3" s="1546"/>
      <c r="C3" s="220" t="s">
        <v>272</v>
      </c>
      <c r="D3" s="220" t="s">
        <v>284</v>
      </c>
      <c r="E3" s="126">
        <v>2023</v>
      </c>
      <c r="F3" s="82" t="s">
        <v>332</v>
      </c>
      <c r="G3" s="141">
        <v>2024</v>
      </c>
      <c r="H3" s="130" t="s">
        <v>421</v>
      </c>
      <c r="I3" s="129">
        <v>2026</v>
      </c>
    </row>
    <row r="4" spans="1:9" ht="13.5" thickBot="1">
      <c r="A4" s="1547"/>
      <c r="B4" s="1548"/>
      <c r="C4" s="217" t="s">
        <v>207</v>
      </c>
      <c r="D4" s="217" t="s">
        <v>207</v>
      </c>
      <c r="E4" s="84" t="s">
        <v>207</v>
      </c>
      <c r="F4" s="84" t="s">
        <v>207</v>
      </c>
      <c r="G4" s="142" t="s">
        <v>207</v>
      </c>
      <c r="H4" s="132" t="s">
        <v>207</v>
      </c>
      <c r="I4" s="131" t="s">
        <v>207</v>
      </c>
    </row>
    <row r="5" spans="1:9" s="121" customFormat="1" ht="13.5" thickTop="1">
      <c r="A5" s="1224"/>
      <c r="B5" s="284" t="s">
        <v>256</v>
      </c>
      <c r="C5" s="408">
        <f>'Bežné príjmy'!G119</f>
        <v>1876766.72</v>
      </c>
      <c r="D5" s="408">
        <f>'Bežné príjmy'!H119</f>
        <v>2002597.04</v>
      </c>
      <c r="E5" s="409">
        <f>'Bežné príjmy'!I119</f>
        <v>1916213.82</v>
      </c>
      <c r="F5" s="409">
        <f>'Bežné príjmy'!J119</f>
        <v>2237790.87</v>
      </c>
      <c r="G5" s="409">
        <f>'Bežné príjmy'!K119</f>
        <v>2137932.396</v>
      </c>
      <c r="H5" s="409">
        <f>'Bežné príjmy'!L119</f>
        <v>2186856.6960000005</v>
      </c>
      <c r="I5" s="409">
        <f>'Bežné príjmy'!M119</f>
        <v>2244839.6960000005</v>
      </c>
    </row>
    <row r="6" spans="1:9" s="121" customFormat="1" ht="22.5">
      <c r="A6" s="1224"/>
      <c r="B6" s="1225" t="s">
        <v>319</v>
      </c>
      <c r="C6" s="410">
        <f>'Bežné príjmy'!G103</f>
        <v>91075.22</v>
      </c>
      <c r="D6" s="410">
        <f>'Bežné príjmy'!H103</f>
        <v>120741.62999999999</v>
      </c>
      <c r="E6" s="410">
        <f>'Bežné príjmy'!I103</f>
        <v>140852</v>
      </c>
      <c r="F6" s="410">
        <f>'Bežné príjmy'!J103</f>
        <v>140852</v>
      </c>
      <c r="G6" s="410">
        <f>'Bežné príjmy'!K103</f>
        <v>149051</v>
      </c>
      <c r="H6" s="410">
        <f>'Bežné príjmy'!L103</f>
        <v>157552</v>
      </c>
      <c r="I6" s="410">
        <f>'Bežné príjmy'!M103</f>
        <v>157552</v>
      </c>
    </row>
    <row r="7" spans="1:9" s="121" customFormat="1" ht="12.75">
      <c r="A7" s="1226"/>
      <c r="B7" s="283" t="s">
        <v>62</v>
      </c>
      <c r="C7" s="411">
        <f>SUM(C9:C19)</f>
        <v>1612481.05</v>
      </c>
      <c r="D7" s="411">
        <f>SUM(D9:D19)</f>
        <v>1663724.1</v>
      </c>
      <c r="E7" s="411">
        <f>E9+E10+E11+E12+E13+E14+E15+E16+E17+E18+E19</f>
        <v>1901470.04</v>
      </c>
      <c r="F7" s="411">
        <f>SUM(F9:F19)</f>
        <v>2103581.63</v>
      </c>
      <c r="G7" s="411">
        <f>G9+G10+G11+G12+G13+G14+G15+G16+G17+G18+G19</f>
        <v>2112572.33</v>
      </c>
      <c r="H7" s="411">
        <f>H9+H10+H11+H12+H13+H14+H15+H16+H17+H18+H19</f>
        <v>2174875.33</v>
      </c>
      <c r="I7" s="411">
        <f>I9+I10+I11+I12+I13+I14+I15+I16+I17+I18+I19</f>
        <v>2221845.83</v>
      </c>
    </row>
    <row r="8" spans="1:12" s="121" customFormat="1" ht="12.75">
      <c r="A8" s="1226"/>
      <c r="B8" s="412" t="s">
        <v>65</v>
      </c>
      <c r="C8" s="413"/>
      <c r="D8" s="413"/>
      <c r="E8" s="414"/>
      <c r="F8" s="414"/>
      <c r="G8" s="414"/>
      <c r="H8" s="414"/>
      <c r="I8" s="415"/>
      <c r="K8" s="170"/>
      <c r="L8" s="169"/>
    </row>
    <row r="9" spans="1:12" s="121" customFormat="1" ht="12.75" customHeight="1">
      <c r="A9" s="1226"/>
      <c r="B9" s="1251" t="s">
        <v>697</v>
      </c>
      <c r="C9" s="416">
        <f>'Výdavky Program 1'!E6</f>
        <v>8355.619999999999</v>
      </c>
      <c r="D9" s="416">
        <f>'Výdavky Program 1'!F6</f>
        <v>5474.1900000000005</v>
      </c>
      <c r="E9" s="417">
        <f>'Výdavky Program 1'!G6</f>
        <v>5649</v>
      </c>
      <c r="F9" s="417">
        <f>'Výdavky Program 1'!H6</f>
        <v>9664</v>
      </c>
      <c r="G9" s="417">
        <f>'Výdavky Program 1'!I6</f>
        <v>7533</v>
      </c>
      <c r="H9" s="417">
        <f>'Výdavky Program 1'!J6</f>
        <v>7553</v>
      </c>
      <c r="I9" s="417">
        <f>'Výdavky Program 1'!K6</f>
        <v>7683</v>
      </c>
      <c r="K9" s="170"/>
      <c r="L9" s="169"/>
    </row>
    <row r="10" spans="1:12" s="121" customFormat="1" ht="12.75">
      <c r="A10" s="1226"/>
      <c r="B10" s="418" t="s">
        <v>147</v>
      </c>
      <c r="C10" s="419">
        <f>'Výdavky Program 2'!E6</f>
        <v>55397.509999999995</v>
      </c>
      <c r="D10" s="419">
        <f>'Výdavky Program 2'!F6</f>
        <v>53251.680000000015</v>
      </c>
      <c r="E10" s="420">
        <f>'Výdavky Program 2'!G6</f>
        <v>25900</v>
      </c>
      <c r="F10" s="420">
        <f>'Výdavky Program 2'!H6</f>
        <v>27236.33</v>
      </c>
      <c r="G10" s="420">
        <f>'Výdavky Program 2'!I6</f>
        <v>27870</v>
      </c>
      <c r="H10" s="420">
        <f>'Výdavky Program 2'!J6</f>
        <v>24970</v>
      </c>
      <c r="I10" s="420">
        <f>'Výdavky Program 2'!K6</f>
        <v>24970</v>
      </c>
      <c r="L10" s="169"/>
    </row>
    <row r="11" spans="1:12" s="121" customFormat="1" ht="12.75">
      <c r="A11" s="1226"/>
      <c r="B11" s="418" t="s">
        <v>148</v>
      </c>
      <c r="C11" s="419">
        <f>'Výdavky Program 3'!E6</f>
        <v>6099.459999999999</v>
      </c>
      <c r="D11" s="419">
        <f>'Výdavky Program 3'!F6</f>
        <v>6522.43</v>
      </c>
      <c r="E11" s="420">
        <f>'Výdavky Program 3'!G6</f>
        <v>7625</v>
      </c>
      <c r="F11" s="420">
        <f>'Výdavky Program 3'!H6</f>
        <v>18285.45</v>
      </c>
      <c r="G11" s="420">
        <f>'Výdavky Program 3'!I6</f>
        <v>9735.45</v>
      </c>
      <c r="H11" s="420">
        <f>'Výdavky Program 3'!J6</f>
        <v>9935.45</v>
      </c>
      <c r="I11" s="420">
        <f>'Výdavky Program 3'!K6</f>
        <v>9935.45</v>
      </c>
      <c r="L11" s="169"/>
    </row>
    <row r="12" spans="1:12" s="121" customFormat="1" ht="12.75">
      <c r="A12" s="1226"/>
      <c r="B12" s="418" t="s">
        <v>149</v>
      </c>
      <c r="C12" s="419">
        <f>'Výdavky Program 4'!E6</f>
        <v>57516.82</v>
      </c>
      <c r="D12" s="419">
        <f>'Výdavky Program 4'!F6</f>
        <v>14049.260000000002</v>
      </c>
      <c r="E12" s="419">
        <f>'Výdavky Program 4'!G6</f>
        <v>22381.69</v>
      </c>
      <c r="F12" s="419">
        <f>'Výdavky Program 4'!H6</f>
        <v>22502.15</v>
      </c>
      <c r="G12" s="419">
        <f>'Výdavky Program 4'!I6</f>
        <v>21523.32</v>
      </c>
      <c r="H12" s="419">
        <f>'Výdavky Program 4'!J6</f>
        <v>19102.32</v>
      </c>
      <c r="I12" s="419">
        <f>'Výdavky Program 4'!K6</f>
        <v>18312.32</v>
      </c>
      <c r="L12" s="169"/>
    </row>
    <row r="13" spans="1:12" s="121" customFormat="1" ht="12.75">
      <c r="A13" s="1226"/>
      <c r="B13" s="418" t="s">
        <v>150</v>
      </c>
      <c r="C13" s="419">
        <f>'Výdavky Program 5'!E6</f>
        <v>141799.74</v>
      </c>
      <c r="D13" s="419">
        <f>'Výdavky Program 5'!F6</f>
        <v>148195.7</v>
      </c>
      <c r="E13" s="419">
        <f>'Výdavky Program 5'!G6</f>
        <v>197985</v>
      </c>
      <c r="F13" s="419">
        <f>'Výdavky Program 5'!H6</f>
        <v>233157.7</v>
      </c>
      <c r="G13" s="419">
        <f>'Výdavky Program 5'!I6</f>
        <v>214268</v>
      </c>
      <c r="H13" s="419">
        <f>'Výdavky Program 5'!J6</f>
        <v>211967</v>
      </c>
      <c r="I13" s="419">
        <f>'Výdavky Program 5'!K6</f>
        <v>213166</v>
      </c>
      <c r="L13" s="169"/>
    </row>
    <row r="14" spans="1:12" s="121" customFormat="1" ht="12.75">
      <c r="A14" s="1226"/>
      <c r="B14" s="421" t="s">
        <v>146</v>
      </c>
      <c r="C14" s="419">
        <f>'Výdavky Program 6'!E6</f>
        <v>2298.2</v>
      </c>
      <c r="D14" s="419">
        <f>'Výdavky Program 6'!F6</f>
        <v>2506.32</v>
      </c>
      <c r="E14" s="422">
        <f>'Výdavky Program 6'!G6</f>
        <v>2889</v>
      </c>
      <c r="F14" s="422">
        <f>'Výdavky Program 6'!H6</f>
        <v>5891.41</v>
      </c>
      <c r="G14" s="422">
        <f>'Výdavky Program 6'!I6</f>
        <v>1891.41</v>
      </c>
      <c r="H14" s="422">
        <f>'Výdavky Program 6'!J6</f>
        <v>1891.41</v>
      </c>
      <c r="I14" s="422">
        <f>'Výdavky Program 6'!K6</f>
        <v>2891.41</v>
      </c>
      <c r="L14" s="169"/>
    </row>
    <row r="15" spans="1:12" s="121" customFormat="1" ht="12.75">
      <c r="A15" s="1226"/>
      <c r="B15" s="421" t="s">
        <v>151</v>
      </c>
      <c r="C15" s="419">
        <f>'Výdavky Program 7'!E6</f>
        <v>972598.28</v>
      </c>
      <c r="D15" s="419">
        <f>'Výdavky Program 7'!F6</f>
        <v>1015703.1799999999</v>
      </c>
      <c r="E15" s="422">
        <f>'Výdavky Program 7'!G6</f>
        <v>1143518</v>
      </c>
      <c r="F15" s="422">
        <f>'Výdavky Program 7'!H6</f>
        <v>1262469.98</v>
      </c>
      <c r="G15" s="422">
        <f>'Výdavky Program 7'!I6</f>
        <v>1273661.4</v>
      </c>
      <c r="H15" s="422">
        <f>'Výdavky Program 7'!J6</f>
        <v>1336818</v>
      </c>
      <c r="I15" s="422">
        <f>'Výdavky Program 7'!K6</f>
        <v>1372073</v>
      </c>
      <c r="L15" s="169"/>
    </row>
    <row r="16" spans="1:12" s="121" customFormat="1" ht="12.75">
      <c r="A16" s="1226"/>
      <c r="B16" s="418" t="s">
        <v>152</v>
      </c>
      <c r="C16" s="419">
        <f>'Výdavky Program 8'!E6</f>
        <v>45409.29000000001</v>
      </c>
      <c r="D16" s="419">
        <f>'Výdavky Program 8'!F6</f>
        <v>44517.31</v>
      </c>
      <c r="E16" s="419">
        <f>'Výdavky Program 8'!G6</f>
        <v>49134</v>
      </c>
      <c r="F16" s="419">
        <f>'Výdavky Program 8'!H6</f>
        <v>54507</v>
      </c>
      <c r="G16" s="419">
        <f>'Výdavky Program 8'!I6</f>
        <v>33900</v>
      </c>
      <c r="H16" s="419">
        <f>'Výdavky Program 8'!J6</f>
        <v>33900</v>
      </c>
      <c r="I16" s="419">
        <f>'Výdavky Program 8'!K6</f>
        <v>33900</v>
      </c>
      <c r="L16" s="169"/>
    </row>
    <row r="17" spans="1:12" s="121" customFormat="1" ht="12.75">
      <c r="A17" s="1226"/>
      <c r="B17" s="421" t="s">
        <v>153</v>
      </c>
      <c r="C17" s="419">
        <f>'Výdavky Program 9'!E6</f>
        <v>126962.24000000002</v>
      </c>
      <c r="D17" s="419">
        <f>'Výdavky Program 9'!F6</f>
        <v>148251.65000000002</v>
      </c>
      <c r="E17" s="422">
        <f>'Výdavky Program 9'!G6</f>
        <v>168434.34999999998</v>
      </c>
      <c r="F17" s="422">
        <f>'Výdavky Program 9'!H6</f>
        <v>172262.86</v>
      </c>
      <c r="G17" s="422">
        <f>'Výdavky Program 9'!I6</f>
        <v>189161.65</v>
      </c>
      <c r="H17" s="422">
        <f>'Výdavky Program 9'!J6</f>
        <v>198657.65</v>
      </c>
      <c r="I17" s="422">
        <f>'Výdavky Program 9'!K6</f>
        <v>208404.15</v>
      </c>
      <c r="L17" s="169"/>
    </row>
    <row r="18" spans="1:12" s="121" customFormat="1" ht="12.75">
      <c r="A18" s="1226"/>
      <c r="B18" s="418" t="s">
        <v>154</v>
      </c>
      <c r="C18" s="419">
        <f>'Výdavky Program 10'!E6</f>
        <v>1774.6499999999999</v>
      </c>
      <c r="D18" s="419">
        <f>'Výdavky Program 10'!F6</f>
        <v>22728.29</v>
      </c>
      <c r="E18" s="419">
        <f>'Výdavky Program 10'!G6</f>
        <v>8500</v>
      </c>
      <c r="F18" s="419">
        <f>'Výdavky Program 10'!H6</f>
        <v>29632.4</v>
      </c>
      <c r="G18" s="419">
        <f>'Výdavky Program 10'!I6</f>
        <v>8645.6</v>
      </c>
      <c r="H18" s="419">
        <f>'Výdavky Program 10'!J6</f>
        <v>8500</v>
      </c>
      <c r="I18" s="419">
        <f>'Výdavky Program 10'!K6</f>
        <v>8500</v>
      </c>
      <c r="L18" s="169"/>
    </row>
    <row r="19" spans="1:12" s="121" customFormat="1" ht="13.5" thickBot="1">
      <c r="A19" s="1227"/>
      <c r="B19" s="423" t="s">
        <v>155</v>
      </c>
      <c r="C19" s="355">
        <f>'Výdavky Program 11'!E6</f>
        <v>194269.24</v>
      </c>
      <c r="D19" s="355">
        <f>'Výdavky Program 11'!F6</f>
        <v>202524.08999999994</v>
      </c>
      <c r="E19" s="355">
        <f>'Výdavky Program 11'!G6</f>
        <v>269454</v>
      </c>
      <c r="F19" s="355">
        <f>'Výdavky Program 11'!H6</f>
        <v>267972.35</v>
      </c>
      <c r="G19" s="355">
        <f>'Výdavky Program 11'!I6</f>
        <v>324382.5</v>
      </c>
      <c r="H19" s="355">
        <f>'Výdavky Program 11'!J6</f>
        <v>321580.5</v>
      </c>
      <c r="I19" s="355">
        <f>'Výdavky Program 11'!K6</f>
        <v>322010.5</v>
      </c>
      <c r="K19" s="170"/>
      <c r="L19" s="169"/>
    </row>
    <row r="20" spans="1:12" s="121" customFormat="1" ht="21.75" thickBot="1">
      <c r="A20" s="1228"/>
      <c r="B20" s="1229" t="s">
        <v>291</v>
      </c>
      <c r="C20" s="424">
        <f>C5-C7</f>
        <v>264285.6699999999</v>
      </c>
      <c r="D20" s="424">
        <f aca="true" t="shared" si="0" ref="D20:I20">D5-D7</f>
        <v>338872.93999999994</v>
      </c>
      <c r="E20" s="424">
        <f t="shared" si="0"/>
        <v>14743.780000000028</v>
      </c>
      <c r="F20" s="424">
        <f t="shared" si="0"/>
        <v>134209.24000000022</v>
      </c>
      <c r="G20" s="424">
        <f t="shared" si="0"/>
        <v>25360.066000000108</v>
      </c>
      <c r="H20" s="424">
        <f t="shared" si="0"/>
        <v>11981.366000000387</v>
      </c>
      <c r="I20" s="424">
        <f t="shared" si="0"/>
        <v>22993.866000000387</v>
      </c>
      <c r="L20" s="169"/>
    </row>
    <row r="21" spans="1:9" s="121" customFormat="1" ht="12.75">
      <c r="A21" s="1224"/>
      <c r="B21" s="284" t="s">
        <v>63</v>
      </c>
      <c r="C21" s="408">
        <f>'Kapitálové príjmy'!F18</f>
        <v>3743.2</v>
      </c>
      <c r="D21" s="408">
        <f>'Kapitálové príjmy'!G18</f>
        <v>4625.6</v>
      </c>
      <c r="E21" s="409">
        <f>'Kapitálové príjmy'!H18</f>
        <v>5892646.59</v>
      </c>
      <c r="F21" s="409">
        <f>'Kapitálové príjmy'!I18</f>
        <v>96175</v>
      </c>
      <c r="G21" s="409">
        <f>'Kapitálové príjmy'!J18</f>
        <v>2379426.76</v>
      </c>
      <c r="H21" s="409">
        <f>'Kapitálové príjmy'!K18</f>
        <v>1000</v>
      </c>
      <c r="I21" s="409">
        <f>'Kapitálové príjmy'!L18</f>
        <v>1000</v>
      </c>
    </row>
    <row r="22" spans="1:9" s="121" customFormat="1" ht="12.75">
      <c r="A22" s="1226"/>
      <c r="B22" s="283" t="s">
        <v>64</v>
      </c>
      <c r="C22" s="411">
        <f>SUM(C24:C34)</f>
        <v>240513.5</v>
      </c>
      <c r="D22" s="411">
        <f aca="true" t="shared" si="1" ref="D22:I22">SUM(D24:D34)</f>
        <v>222845.32</v>
      </c>
      <c r="E22" s="411">
        <f t="shared" si="1"/>
        <v>6115434.170000001</v>
      </c>
      <c r="F22" s="411">
        <f t="shared" si="1"/>
        <v>142921</v>
      </c>
      <c r="G22" s="411">
        <f t="shared" si="1"/>
        <v>2672442.77</v>
      </c>
      <c r="H22" s="411">
        <f t="shared" si="1"/>
        <v>0</v>
      </c>
      <c r="I22" s="411">
        <f t="shared" si="1"/>
        <v>0</v>
      </c>
    </row>
    <row r="23" spans="1:9" s="121" customFormat="1" ht="12.75">
      <c r="A23" s="1226"/>
      <c r="B23" s="412" t="s">
        <v>65</v>
      </c>
      <c r="C23" s="425"/>
      <c r="D23" s="425"/>
      <c r="E23" s="426"/>
      <c r="F23" s="426"/>
      <c r="G23" s="426"/>
      <c r="H23" s="426"/>
      <c r="I23" s="427"/>
    </row>
    <row r="24" spans="1:9" s="121" customFormat="1" ht="13.5" customHeight="1">
      <c r="A24" s="1226"/>
      <c r="B24" s="1251" t="s">
        <v>697</v>
      </c>
      <c r="C24" s="416">
        <v>0</v>
      </c>
      <c r="D24" s="416">
        <v>0</v>
      </c>
      <c r="E24" s="417">
        <v>0</v>
      </c>
      <c r="F24" s="417">
        <v>0</v>
      </c>
      <c r="G24" s="417">
        <v>0</v>
      </c>
      <c r="H24" s="417">
        <v>0</v>
      </c>
      <c r="I24" s="417">
        <v>0</v>
      </c>
    </row>
    <row r="25" spans="1:9" s="121" customFormat="1" ht="12.75">
      <c r="A25" s="1226"/>
      <c r="B25" s="418" t="s">
        <v>147</v>
      </c>
      <c r="C25" s="419">
        <f>'Výdavky Program 2'!E54</f>
        <v>70134.07</v>
      </c>
      <c r="D25" s="419">
        <f>'Výdavky Program 2'!F54</f>
        <v>145702.04</v>
      </c>
      <c r="E25" s="419">
        <f>'Výdavky Program 2'!G54</f>
        <v>6115434.170000001</v>
      </c>
      <c r="F25" s="419">
        <f>'Výdavky Program 2'!H54</f>
        <v>114936</v>
      </c>
      <c r="G25" s="419">
        <f>'Výdavky Program 2'!I54</f>
        <v>2555723.77</v>
      </c>
      <c r="H25" s="419">
        <f>'Výdavky Program 2'!J54</f>
        <v>0</v>
      </c>
      <c r="I25" s="419">
        <f>'Výdavky Program 2'!K54</f>
        <v>0</v>
      </c>
    </row>
    <row r="26" spans="1:9" s="121" customFormat="1" ht="12.75">
      <c r="A26" s="1226"/>
      <c r="B26" s="418" t="s">
        <v>148</v>
      </c>
      <c r="C26" s="419">
        <f>'Výdavky Program 3'!E43</f>
        <v>24661.5</v>
      </c>
      <c r="D26" s="419">
        <f>'Výdavky Program 3'!F43</f>
        <v>0</v>
      </c>
      <c r="E26" s="419">
        <v>0</v>
      </c>
      <c r="F26" s="419">
        <f>'Výdavky Program 3'!H43</f>
        <v>2400</v>
      </c>
      <c r="G26" s="419">
        <f>'Výdavky Program 3'!I43</f>
        <v>18000</v>
      </c>
      <c r="H26" s="419">
        <f>'Výdavky Program 3'!J43</f>
        <v>0</v>
      </c>
      <c r="I26" s="419">
        <f>'Výdavky Program 3'!K43</f>
        <v>0</v>
      </c>
    </row>
    <row r="27" spans="1:9" s="121" customFormat="1" ht="12.75">
      <c r="A27" s="1226"/>
      <c r="B27" s="418" t="s">
        <v>149</v>
      </c>
      <c r="C27" s="419">
        <f>'Výdavky Program 4'!E53</f>
        <v>0</v>
      </c>
      <c r="D27" s="419">
        <f>'Výdavky Program 4'!F53</f>
        <v>4560</v>
      </c>
      <c r="E27" s="419">
        <f>'Výdavky Program 4'!G53</f>
        <v>0</v>
      </c>
      <c r="F27" s="419">
        <f>'Výdavky Program 4'!H53</f>
        <v>0</v>
      </c>
      <c r="G27" s="419">
        <f>'Výdavky Program 4'!I53</f>
        <v>8000</v>
      </c>
      <c r="H27" s="419">
        <f>'Výdavky Program 4'!J53</f>
        <v>0</v>
      </c>
      <c r="I27" s="419">
        <f>'Výdavky Program 4'!K53</f>
        <v>0</v>
      </c>
    </row>
    <row r="28" spans="1:9" s="121" customFormat="1" ht="12.75">
      <c r="A28" s="1226"/>
      <c r="B28" s="418" t="s">
        <v>150</v>
      </c>
      <c r="C28" s="419">
        <f>'Výdavky Program 5'!E45</f>
        <v>0</v>
      </c>
      <c r="D28" s="419">
        <f>'Výdavky Program 5'!F45</f>
        <v>35448</v>
      </c>
      <c r="E28" s="419">
        <f>'Výdavky Program 5'!G45</f>
        <v>0</v>
      </c>
      <c r="F28" s="419">
        <f>'Výdavky Program 5'!H45</f>
        <v>0</v>
      </c>
      <c r="G28" s="419">
        <f>'Výdavky Program 5'!I45</f>
        <v>6500</v>
      </c>
      <c r="H28" s="419">
        <f>'Výdavky Program 5'!J45</f>
        <v>0</v>
      </c>
      <c r="I28" s="419">
        <f>'Výdavky Program 5'!K45</f>
        <v>0</v>
      </c>
    </row>
    <row r="29" spans="1:9" s="121" customFormat="1" ht="12.75">
      <c r="A29" s="1226"/>
      <c r="B29" s="421" t="s">
        <v>146</v>
      </c>
      <c r="C29" s="419">
        <f>'Výdavky Program 6'!E20</f>
        <v>128101.8</v>
      </c>
      <c r="D29" s="419">
        <f>'Výdavky Program 6'!F20</f>
        <v>32164.379999999997</v>
      </c>
      <c r="E29" s="419">
        <f>'Výdavky Program 6'!G20</f>
        <v>0</v>
      </c>
      <c r="F29" s="419">
        <f>'Výdavky Program 6'!H20</f>
        <v>3240</v>
      </c>
      <c r="G29" s="419">
        <f>'Výdavky Program 6'!I20</f>
        <v>79219</v>
      </c>
      <c r="H29" s="419">
        <v>0</v>
      </c>
      <c r="I29" s="419">
        <v>0</v>
      </c>
    </row>
    <row r="30" spans="1:9" s="121" customFormat="1" ht="12.75">
      <c r="A30" s="1226"/>
      <c r="B30" s="421" t="s">
        <v>151</v>
      </c>
      <c r="C30" s="419">
        <f>'Výdavky Program 7'!E94</f>
        <v>1188</v>
      </c>
      <c r="D30" s="419">
        <f>'Výdavky Program 7'!F94</f>
        <v>3941.1</v>
      </c>
      <c r="E30" s="419">
        <f>'Výdavky Program 7'!G94</f>
        <v>0</v>
      </c>
      <c r="F30" s="419">
        <f>'Výdavky Program 7'!H94</f>
        <v>0</v>
      </c>
      <c r="G30" s="419">
        <f>'Výdavky Program 7'!I94</f>
        <v>0</v>
      </c>
      <c r="H30" s="419">
        <v>0</v>
      </c>
      <c r="I30" s="419">
        <v>0</v>
      </c>
    </row>
    <row r="31" spans="1:9" s="121" customFormat="1" ht="12.75">
      <c r="A31" s="1226"/>
      <c r="B31" s="418" t="s">
        <v>152</v>
      </c>
      <c r="C31" s="419">
        <f>'Výdavky Program 8'!E47</f>
        <v>16428.13</v>
      </c>
      <c r="D31" s="419">
        <f>'Výdavky Program 8'!F47</f>
        <v>1029.8</v>
      </c>
      <c r="E31" s="419">
        <f>'Výdavky Program 8'!G47</f>
        <v>0</v>
      </c>
      <c r="F31" s="419">
        <f>'Výdavky Program 8'!H47</f>
        <v>0</v>
      </c>
      <c r="G31" s="419">
        <f>'Výdavky Program 8'!I47</f>
        <v>0</v>
      </c>
      <c r="H31" s="419">
        <f>'Výdavky Program 8'!J47</f>
        <v>0</v>
      </c>
      <c r="I31" s="419">
        <f>'Výdavky Program 8'!K47</f>
        <v>0</v>
      </c>
    </row>
    <row r="32" spans="1:9" s="121" customFormat="1" ht="12.75">
      <c r="A32" s="1226"/>
      <c r="B32" s="421" t="s">
        <v>153</v>
      </c>
      <c r="C32" s="419">
        <v>0</v>
      </c>
      <c r="D32" s="419">
        <v>0</v>
      </c>
      <c r="E32" s="419">
        <v>0</v>
      </c>
      <c r="F32" s="419">
        <f>'Výdavky Program 9'!H49</f>
        <v>22345</v>
      </c>
      <c r="G32" s="419">
        <v>0</v>
      </c>
      <c r="H32" s="419">
        <v>0</v>
      </c>
      <c r="I32" s="419">
        <v>0</v>
      </c>
    </row>
    <row r="33" spans="1:9" s="121" customFormat="1" ht="12.75">
      <c r="A33" s="1226"/>
      <c r="B33" s="418" t="s">
        <v>154</v>
      </c>
      <c r="C33" s="419">
        <v>0</v>
      </c>
      <c r="D33" s="419">
        <v>0</v>
      </c>
      <c r="E33" s="420">
        <v>0</v>
      </c>
      <c r="F33" s="420">
        <v>0</v>
      </c>
      <c r="G33" s="420">
        <f>'Výdavky Program 10'!I34</f>
        <v>5000</v>
      </c>
      <c r="H33" s="420">
        <v>0</v>
      </c>
      <c r="I33" s="420">
        <v>0</v>
      </c>
    </row>
    <row r="34" spans="1:9" s="121" customFormat="1" ht="13.5" thickBot="1">
      <c r="A34" s="1227"/>
      <c r="B34" s="423" t="s">
        <v>155</v>
      </c>
      <c r="C34" s="355">
        <v>0</v>
      </c>
      <c r="D34" s="355">
        <v>0</v>
      </c>
      <c r="E34" s="428">
        <v>0</v>
      </c>
      <c r="F34" s="428">
        <v>0</v>
      </c>
      <c r="G34" s="428">
        <v>0</v>
      </c>
      <c r="H34" s="428">
        <v>0</v>
      </c>
      <c r="I34" s="428">
        <v>0</v>
      </c>
    </row>
    <row r="35" spans="1:9" s="121" customFormat="1" ht="21.75" thickBot="1">
      <c r="A35" s="1228"/>
      <c r="B35" s="1229" t="s">
        <v>290</v>
      </c>
      <c r="C35" s="424">
        <f>C21-C22</f>
        <v>-236770.3</v>
      </c>
      <c r="D35" s="424">
        <f aca="true" t="shared" si="2" ref="D35:I35">D21-D22</f>
        <v>-218219.72</v>
      </c>
      <c r="E35" s="424">
        <f t="shared" si="2"/>
        <v>-222787.580000001</v>
      </c>
      <c r="F35" s="424">
        <f t="shared" si="2"/>
        <v>-46746</v>
      </c>
      <c r="G35" s="424">
        <f t="shared" si="2"/>
        <v>-293016.01000000024</v>
      </c>
      <c r="H35" s="424">
        <f t="shared" si="2"/>
        <v>1000</v>
      </c>
      <c r="I35" s="424">
        <f t="shared" si="2"/>
        <v>1000</v>
      </c>
    </row>
    <row r="36" spans="1:9" s="121" customFormat="1" ht="22.5">
      <c r="A36" s="1224"/>
      <c r="B36" s="1230" t="s">
        <v>259</v>
      </c>
      <c r="C36" s="429">
        <f>C5+C21-C37</f>
        <v>1789434.7</v>
      </c>
      <c r="D36" s="429">
        <f aca="true" t="shared" si="3" ref="D36:I36">D5+D21-D37</f>
        <v>1886481.0100000002</v>
      </c>
      <c r="E36" s="430">
        <f t="shared" si="3"/>
        <v>7668008.41</v>
      </c>
      <c r="F36" s="430">
        <f t="shared" si="3"/>
        <v>2193113.87</v>
      </c>
      <c r="G36" s="430">
        <f t="shared" si="3"/>
        <v>4368308.1559999995</v>
      </c>
      <c r="H36" s="430">
        <f t="shared" si="3"/>
        <v>2030304.6960000005</v>
      </c>
      <c r="I36" s="430">
        <f t="shared" si="3"/>
        <v>2088287.6960000005</v>
      </c>
    </row>
    <row r="37" spans="1:9" s="121" customFormat="1" ht="22.5">
      <c r="A37" s="1224"/>
      <c r="B37" s="1231" t="s">
        <v>257</v>
      </c>
      <c r="C37" s="431">
        <f>C6</f>
        <v>91075.22</v>
      </c>
      <c r="D37" s="431">
        <f aca="true" t="shared" si="4" ref="D37:I37">D6</f>
        <v>120741.62999999999</v>
      </c>
      <c r="E37" s="432">
        <f t="shared" si="4"/>
        <v>140852</v>
      </c>
      <c r="F37" s="432">
        <f t="shared" si="4"/>
        <v>140852</v>
      </c>
      <c r="G37" s="432">
        <f t="shared" si="4"/>
        <v>149051</v>
      </c>
      <c r="H37" s="432">
        <f t="shared" si="4"/>
        <v>157552</v>
      </c>
      <c r="I37" s="432">
        <f t="shared" si="4"/>
        <v>157552</v>
      </c>
    </row>
    <row r="38" spans="1:11" s="121" customFormat="1" ht="22.5">
      <c r="A38" s="1226"/>
      <c r="B38" s="1231" t="s">
        <v>260</v>
      </c>
      <c r="C38" s="431">
        <f>C9+C10+C11+C12+C13+C14+C16+C17+C18+C19+C22-'Výdavky Program 7'!E97</f>
        <v>879208.27</v>
      </c>
      <c r="D38" s="431">
        <f>D9+D10+D11+D12+D13+D14+D16+D17+D18+D19+D22-'Výdavky Program 7'!F97</f>
        <v>870866.24</v>
      </c>
      <c r="E38" s="432">
        <f>E9+E10+E11+E12+E13+E14+E16+E17+E18+E19+E22+0.01</f>
        <v>6873386.220000001</v>
      </c>
      <c r="F38" s="432">
        <f>(F7+F22)-F15</f>
        <v>984032.6499999999</v>
      </c>
      <c r="G38" s="432">
        <f>G9+G10+G11+G12+G13+G14+G16+G17+G18+G19+G22</f>
        <v>3511353.7</v>
      </c>
      <c r="H38" s="432">
        <f>H9+H10+H11+H12+H13+H14+H16+H17+H18+H19+H22</f>
        <v>838057.33</v>
      </c>
      <c r="I38" s="432">
        <f>I9+I10+I11+I12+I13+I14+I16+I17+I18+I19+I22</f>
        <v>849772.83</v>
      </c>
      <c r="K38" s="170"/>
    </row>
    <row r="39" spans="1:9" s="121" customFormat="1" ht="23.25" customHeight="1">
      <c r="A39" s="1226"/>
      <c r="B39" s="1232" t="s">
        <v>258</v>
      </c>
      <c r="C39" s="433">
        <f>C15+'Výdavky Program 7'!E97</f>
        <v>973786.28</v>
      </c>
      <c r="D39" s="433">
        <f>D15+'Výdavky Program 7'!F97</f>
        <v>1015703.1799999999</v>
      </c>
      <c r="E39" s="434">
        <f>E15</f>
        <v>1143518</v>
      </c>
      <c r="F39" s="434">
        <f>F15</f>
        <v>1262469.98</v>
      </c>
      <c r="G39" s="434">
        <f>G15</f>
        <v>1273661.4</v>
      </c>
      <c r="H39" s="434">
        <f>H15</f>
        <v>1336818</v>
      </c>
      <c r="I39" s="434">
        <f>I15</f>
        <v>1372073</v>
      </c>
    </row>
    <row r="40" spans="1:11" s="121" customFormat="1" ht="13.5" thickBot="1">
      <c r="A40" s="1233"/>
      <c r="B40" s="435" t="s">
        <v>212</v>
      </c>
      <c r="C40" s="436">
        <f>C36+C37-C38-C39</f>
        <v>27515.36999999988</v>
      </c>
      <c r="D40" s="436">
        <f aca="true" t="shared" si="5" ref="D40:I40">D36+D37-D38-D39</f>
        <v>120653.2200000002</v>
      </c>
      <c r="E40" s="436">
        <f t="shared" si="5"/>
        <v>-208043.81000000052</v>
      </c>
      <c r="F40" s="436">
        <f t="shared" si="5"/>
        <v>87463.24000000022</v>
      </c>
      <c r="G40" s="436">
        <f t="shared" si="5"/>
        <v>-267655.9440000006</v>
      </c>
      <c r="H40" s="436">
        <f t="shared" si="5"/>
        <v>12981.366000000387</v>
      </c>
      <c r="I40" s="436">
        <f t="shared" si="5"/>
        <v>23993.866000000387</v>
      </c>
      <c r="K40" s="170"/>
    </row>
    <row r="41" spans="1:9" s="121" customFormat="1" ht="14.25" thickBot="1" thickTop="1">
      <c r="A41" s="1234"/>
      <c r="B41" s="285" t="s">
        <v>408</v>
      </c>
      <c r="C41" s="437">
        <f>C42-C55</f>
        <v>146752.40000000002</v>
      </c>
      <c r="D41" s="437">
        <f aca="true" t="shared" si="6" ref="D41:I41">D42-D55</f>
        <v>182636.96</v>
      </c>
      <c r="E41" s="437">
        <f t="shared" si="6"/>
        <v>208584.01</v>
      </c>
      <c r="F41" s="437">
        <f t="shared" si="6"/>
        <v>28710.449999999997</v>
      </c>
      <c r="G41" s="437">
        <f t="shared" si="6"/>
        <v>268116.01</v>
      </c>
      <c r="H41" s="437">
        <f t="shared" si="6"/>
        <v>-7450</v>
      </c>
      <c r="I41" s="437">
        <f t="shared" si="6"/>
        <v>-7490</v>
      </c>
    </row>
    <row r="42" spans="1:9" s="121" customFormat="1" ht="13.5" thickTop="1">
      <c r="A42" s="1224"/>
      <c r="B42" s="286" t="s">
        <v>409</v>
      </c>
      <c r="C42" s="438">
        <f>SUM(C43:C54)-C49</f>
        <v>153937.48</v>
      </c>
      <c r="D42" s="438">
        <f aca="true" t="shared" si="7" ref="D42:I42">SUM(D43:D54)-D49</f>
        <v>189895.1</v>
      </c>
      <c r="E42" s="438">
        <f t="shared" si="7"/>
        <v>215917.01</v>
      </c>
      <c r="F42" s="438">
        <f t="shared" si="7"/>
        <v>51043.45</v>
      </c>
      <c r="G42" s="438">
        <f t="shared" si="7"/>
        <v>275516.01</v>
      </c>
      <c r="H42" s="438">
        <f t="shared" si="7"/>
        <v>0</v>
      </c>
      <c r="I42" s="438">
        <f t="shared" si="7"/>
        <v>0</v>
      </c>
    </row>
    <row r="43" spans="1:9" s="121" customFormat="1" ht="22.5">
      <c r="A43" s="1224"/>
      <c r="B43" s="1235" t="s">
        <v>769</v>
      </c>
      <c r="C43" s="419">
        <v>19478.07</v>
      </c>
      <c r="D43" s="419">
        <v>4809.01</v>
      </c>
      <c r="E43" s="419">
        <v>40917.01</v>
      </c>
      <c r="F43" s="419">
        <f>90120-20000-33880-25000</f>
        <v>11240</v>
      </c>
      <c r="G43" s="419">
        <f>C79</f>
        <v>98880</v>
      </c>
      <c r="H43" s="419">
        <v>0</v>
      </c>
      <c r="I43" s="419">
        <v>0</v>
      </c>
    </row>
    <row r="44" spans="1:9" s="121" customFormat="1" ht="22.5">
      <c r="A44" s="1224"/>
      <c r="B44" s="1235" t="s">
        <v>770</v>
      </c>
      <c r="C44" s="419">
        <v>485</v>
      </c>
      <c r="D44" s="419">
        <v>0</v>
      </c>
      <c r="E44" s="419">
        <v>0</v>
      </c>
      <c r="F44" s="419">
        <v>674.57</v>
      </c>
      <c r="G44" s="419">
        <v>0</v>
      </c>
      <c r="H44" s="419">
        <v>0</v>
      </c>
      <c r="I44" s="419">
        <v>0</v>
      </c>
    </row>
    <row r="45" spans="1:9" s="121" customFormat="1" ht="33.75">
      <c r="A45" s="1224"/>
      <c r="B45" s="1235" t="s">
        <v>771</v>
      </c>
      <c r="C45" s="419">
        <v>0</v>
      </c>
      <c r="D45" s="419">
        <v>0</v>
      </c>
      <c r="E45" s="419">
        <v>0</v>
      </c>
      <c r="F45" s="419">
        <v>0</v>
      </c>
      <c r="G45" s="419">
        <f>2814.29+150.08</f>
        <v>2964.37</v>
      </c>
      <c r="H45" s="419">
        <v>0</v>
      </c>
      <c r="I45" s="419">
        <v>0</v>
      </c>
    </row>
    <row r="46" spans="1:9" s="121" customFormat="1" ht="22.5">
      <c r="A46" s="1224"/>
      <c r="B46" s="1235" t="s">
        <v>772</v>
      </c>
      <c r="C46" s="419">
        <v>0</v>
      </c>
      <c r="D46" s="419">
        <v>0</v>
      </c>
      <c r="E46" s="419">
        <v>0</v>
      </c>
      <c r="F46" s="419">
        <v>0</v>
      </c>
      <c r="G46" s="419">
        <v>0</v>
      </c>
      <c r="H46" s="419">
        <v>0</v>
      </c>
      <c r="I46" s="419">
        <v>0</v>
      </c>
    </row>
    <row r="47" spans="1:9" s="121" customFormat="1" ht="12.75">
      <c r="A47" s="1224"/>
      <c r="B47" s="439" t="s">
        <v>516</v>
      </c>
      <c r="C47" s="419">
        <v>0</v>
      </c>
      <c r="D47" s="419">
        <v>0</v>
      </c>
      <c r="E47" s="419">
        <v>175000</v>
      </c>
      <c r="F47" s="419">
        <v>0</v>
      </c>
      <c r="G47" s="419">
        <v>0</v>
      </c>
      <c r="H47" s="419">
        <v>0</v>
      </c>
      <c r="I47" s="419">
        <v>0</v>
      </c>
    </row>
    <row r="48" spans="1:9" s="121" customFormat="1" ht="12.75">
      <c r="A48" s="1224"/>
      <c r="B48" s="439" t="s">
        <v>581</v>
      </c>
      <c r="C48" s="419">
        <v>0</v>
      </c>
      <c r="D48" s="419">
        <v>0</v>
      </c>
      <c r="E48" s="419">
        <v>0</v>
      </c>
      <c r="F48" s="419">
        <v>15000</v>
      </c>
      <c r="G48" s="419">
        <v>0</v>
      </c>
      <c r="H48" s="419">
        <v>0</v>
      </c>
      <c r="I48" s="419">
        <v>0</v>
      </c>
    </row>
    <row r="49" spans="1:9" s="121" customFormat="1" ht="12.75">
      <c r="A49" s="1224"/>
      <c r="B49" s="440" t="s">
        <v>693</v>
      </c>
      <c r="C49" s="419">
        <v>20</v>
      </c>
      <c r="D49" s="419">
        <v>8</v>
      </c>
      <c r="E49" s="419">
        <v>0</v>
      </c>
      <c r="F49" s="419">
        <v>0</v>
      </c>
      <c r="G49" s="419">
        <v>0</v>
      </c>
      <c r="H49" s="419">
        <v>0</v>
      </c>
      <c r="I49" s="419">
        <v>0</v>
      </c>
    </row>
    <row r="50" spans="1:9" s="121" customFormat="1" ht="12.75">
      <c r="A50" s="1224"/>
      <c r="B50" s="439" t="s">
        <v>251</v>
      </c>
      <c r="C50" s="419">
        <v>11266.14</v>
      </c>
      <c r="D50" s="419">
        <v>16931</v>
      </c>
      <c r="E50" s="419">
        <v>0</v>
      </c>
      <c r="F50" s="419">
        <v>12028</v>
      </c>
      <c r="G50" s="419">
        <v>0</v>
      </c>
      <c r="H50" s="419">
        <v>0</v>
      </c>
      <c r="I50" s="419">
        <v>0</v>
      </c>
    </row>
    <row r="51" spans="1:9" s="121" customFormat="1" ht="22.5">
      <c r="A51" s="1224"/>
      <c r="B51" s="1235" t="s">
        <v>773</v>
      </c>
      <c r="C51" s="419">
        <v>5706.47</v>
      </c>
      <c r="D51" s="419">
        <v>4514.95</v>
      </c>
      <c r="E51" s="419">
        <v>0</v>
      </c>
      <c r="F51" s="419">
        <v>6986.61</v>
      </c>
      <c r="G51" s="419">
        <v>0</v>
      </c>
      <c r="H51" s="419">
        <v>0</v>
      </c>
      <c r="I51" s="419">
        <v>0</v>
      </c>
    </row>
    <row r="52" spans="1:9" s="121" customFormat="1" ht="22.5">
      <c r="A52" s="1224"/>
      <c r="B52" s="1235" t="s">
        <v>773</v>
      </c>
      <c r="C52" s="419">
        <v>0</v>
      </c>
      <c r="D52" s="419">
        <v>0</v>
      </c>
      <c r="E52" s="419">
        <v>0</v>
      </c>
      <c r="F52" s="419">
        <v>2564.27</v>
      </c>
      <c r="G52" s="419">
        <v>0</v>
      </c>
      <c r="H52" s="419">
        <v>0</v>
      </c>
      <c r="I52" s="419">
        <v>0</v>
      </c>
    </row>
    <row r="53" spans="1:9" s="121" customFormat="1" ht="22.5">
      <c r="A53" s="1224"/>
      <c r="B53" s="1235" t="s">
        <v>774</v>
      </c>
      <c r="C53" s="419">
        <v>0</v>
      </c>
      <c r="D53" s="419">
        <v>0</v>
      </c>
      <c r="E53" s="419">
        <v>0</v>
      </c>
      <c r="F53" s="419">
        <v>2550</v>
      </c>
      <c r="G53" s="419">
        <v>0</v>
      </c>
      <c r="H53" s="419">
        <v>0</v>
      </c>
      <c r="I53" s="419">
        <v>0</v>
      </c>
    </row>
    <row r="54" spans="1:12" s="121" customFormat="1" ht="22.5">
      <c r="A54" s="1224"/>
      <c r="B54" s="1235" t="s">
        <v>775</v>
      </c>
      <c r="C54" s="419">
        <v>117001.8</v>
      </c>
      <c r="D54" s="419">
        <v>163640.14</v>
      </c>
      <c r="E54" s="419">
        <v>0</v>
      </c>
      <c r="F54" s="419">
        <v>0</v>
      </c>
      <c r="G54" s="419">
        <f>C83</f>
        <v>173671.64</v>
      </c>
      <c r="H54" s="419">
        <v>0</v>
      </c>
      <c r="I54" s="419">
        <v>0</v>
      </c>
      <c r="L54" s="165"/>
    </row>
    <row r="55" spans="1:12" s="121" customFormat="1" ht="12.75">
      <c r="A55" s="1224"/>
      <c r="B55" s="286" t="s">
        <v>410</v>
      </c>
      <c r="C55" s="441">
        <f aca="true" t="shared" si="8" ref="C55:I55">SUM(C56:C58)-C58</f>
        <v>7185.08</v>
      </c>
      <c r="D55" s="441">
        <f t="shared" si="8"/>
        <v>7258.14</v>
      </c>
      <c r="E55" s="441">
        <f t="shared" si="8"/>
        <v>7333</v>
      </c>
      <c r="F55" s="441">
        <f t="shared" si="8"/>
        <v>22333</v>
      </c>
      <c r="G55" s="441">
        <f t="shared" si="8"/>
        <v>7400</v>
      </c>
      <c r="H55" s="441">
        <f t="shared" si="8"/>
        <v>7450</v>
      </c>
      <c r="I55" s="441">
        <f t="shared" si="8"/>
        <v>7490</v>
      </c>
      <c r="L55" s="165"/>
    </row>
    <row r="56" spans="1:12" s="121" customFormat="1" ht="12.75">
      <c r="A56" s="1224"/>
      <c r="B56" s="412" t="s">
        <v>171</v>
      </c>
      <c r="C56" s="419">
        <v>7185.08</v>
      </c>
      <c r="D56" s="419">
        <v>7258.14</v>
      </c>
      <c r="E56" s="420">
        <v>7333</v>
      </c>
      <c r="F56" s="420">
        <v>7333</v>
      </c>
      <c r="G56" s="420">
        <v>7400</v>
      </c>
      <c r="H56" s="420">
        <v>7450</v>
      </c>
      <c r="I56" s="420">
        <v>7490</v>
      </c>
      <c r="L56" s="165"/>
    </row>
    <row r="57" spans="1:9" s="121" customFormat="1" ht="22.5">
      <c r="A57" s="1224"/>
      <c r="B57" s="442" t="s">
        <v>582</v>
      </c>
      <c r="C57" s="419">
        <v>0</v>
      </c>
      <c r="D57" s="419">
        <v>0</v>
      </c>
      <c r="E57" s="420">
        <v>0</v>
      </c>
      <c r="F57" s="420">
        <v>15000</v>
      </c>
      <c r="G57" s="420">
        <v>0</v>
      </c>
      <c r="H57" s="420">
        <v>0</v>
      </c>
      <c r="I57" s="420">
        <v>0</v>
      </c>
    </row>
    <row r="58" spans="1:9" s="121" customFormat="1" ht="13.5" thickBot="1">
      <c r="A58" s="1236"/>
      <c r="B58" s="443" t="s">
        <v>694</v>
      </c>
      <c r="C58" s="444">
        <v>18</v>
      </c>
      <c r="D58" s="444">
        <v>10</v>
      </c>
      <c r="E58" s="445">
        <v>0</v>
      </c>
      <c r="F58" s="445">
        <v>10</v>
      </c>
      <c r="G58" s="445">
        <v>0</v>
      </c>
      <c r="H58" s="445">
        <v>0</v>
      </c>
      <c r="I58" s="445">
        <v>0</v>
      </c>
    </row>
    <row r="59" spans="1:9" s="121" customFormat="1" ht="14.25" thickBot="1" thickTop="1">
      <c r="A59" s="1237"/>
      <c r="B59" s="446" t="s">
        <v>4</v>
      </c>
      <c r="C59" s="447">
        <f aca="true" t="shared" si="9" ref="C59:I59">C40+C41</f>
        <v>174267.7699999999</v>
      </c>
      <c r="D59" s="447">
        <f t="shared" si="9"/>
        <v>303290.18000000017</v>
      </c>
      <c r="E59" s="447">
        <f t="shared" si="9"/>
        <v>540.1999999994878</v>
      </c>
      <c r="F59" s="447">
        <f t="shared" si="9"/>
        <v>116173.69000000022</v>
      </c>
      <c r="G59" s="447">
        <f t="shared" si="9"/>
        <v>460.06599999940954</v>
      </c>
      <c r="H59" s="447">
        <f t="shared" si="9"/>
        <v>5531.366000000387</v>
      </c>
      <c r="I59" s="447">
        <f t="shared" si="9"/>
        <v>16503.866000000387</v>
      </c>
    </row>
    <row r="60" spans="1:9" s="121" customFormat="1" ht="21.75" customHeight="1" thickBot="1" thickTop="1">
      <c r="A60" s="1238"/>
      <c r="B60" s="1239" t="s">
        <v>768</v>
      </c>
      <c r="C60" s="448">
        <v>-7604.43</v>
      </c>
      <c r="D60" s="448">
        <v>-1517.19</v>
      </c>
      <c r="E60" s="449"/>
      <c r="F60" s="449"/>
      <c r="G60" s="449"/>
      <c r="H60" s="449"/>
      <c r="I60" s="449"/>
    </row>
    <row r="61" spans="1:9" s="121" customFormat="1" ht="33" thickBot="1" thickTop="1">
      <c r="A61" s="1240"/>
      <c r="B61" s="1241" t="s">
        <v>776</v>
      </c>
      <c r="C61" s="450">
        <v>48273.1</v>
      </c>
      <c r="D61" s="450">
        <v>79318.79</v>
      </c>
      <c r="E61" s="450"/>
      <c r="F61" s="450"/>
      <c r="G61" s="450"/>
      <c r="H61" s="450"/>
      <c r="I61" s="451"/>
    </row>
    <row r="62" spans="1:9" s="121" customFormat="1" ht="22.5" thickBot="1" thickTop="1">
      <c r="A62" s="1242"/>
      <c r="B62" s="1243" t="s">
        <v>334</v>
      </c>
      <c r="C62" s="287">
        <f>C59+C60-C61</f>
        <v>118390.2399999999</v>
      </c>
      <c r="D62" s="287">
        <f aca="true" t="shared" si="10" ref="D62:I62">D59+D60-D61</f>
        <v>222454.2000000002</v>
      </c>
      <c r="E62" s="287">
        <f t="shared" si="10"/>
        <v>540.1999999994878</v>
      </c>
      <c r="F62" s="287">
        <f t="shared" si="10"/>
        <v>116173.69000000022</v>
      </c>
      <c r="G62" s="287">
        <f t="shared" si="10"/>
        <v>460.06599999940954</v>
      </c>
      <c r="H62" s="287">
        <f t="shared" si="10"/>
        <v>5531.366000000387</v>
      </c>
      <c r="I62" s="287">
        <f t="shared" si="10"/>
        <v>16503.866000000387</v>
      </c>
    </row>
    <row r="63" spans="1:2" ht="12.75">
      <c r="A63" s="3" t="s">
        <v>782</v>
      </c>
      <c r="B63" s="3"/>
    </row>
    <row r="64" spans="1:2" ht="12.75">
      <c r="A64" s="36" t="s">
        <v>612</v>
      </c>
      <c r="B64" s="191"/>
    </row>
    <row r="65" spans="1:2" ht="12.75">
      <c r="A65" s="3" t="s">
        <v>271</v>
      </c>
      <c r="B65" s="3"/>
    </row>
    <row r="71" spans="2:4" ht="12.75">
      <c r="B71" s="3"/>
      <c r="C71" s="218"/>
      <c r="D71" s="218"/>
    </row>
    <row r="72" ht="12.75">
      <c r="B72" s="197"/>
    </row>
    <row r="73" ht="12.75">
      <c r="B73" s="197"/>
    </row>
    <row r="74" ht="12.75">
      <c r="B74" s="197"/>
    </row>
    <row r="75" spans="2:4" s="207" customFormat="1" ht="13.5" thickBot="1">
      <c r="B75" s="197"/>
      <c r="C75" s="291"/>
      <c r="D75" s="291"/>
    </row>
    <row r="76" spans="2:9" s="207" customFormat="1" ht="13.5" thickBot="1">
      <c r="B76" s="1280" t="s">
        <v>728</v>
      </c>
      <c r="C76" s="1281">
        <f>G22</f>
        <v>2672442.77</v>
      </c>
      <c r="D76" s="291"/>
      <c r="I76" s="199"/>
    </row>
    <row r="77" spans="2:9" ht="13.5" thickBot="1">
      <c r="B77" s="1274" t="s">
        <v>729</v>
      </c>
      <c r="C77" s="1275">
        <f>C76-C78</f>
        <v>2399891.13</v>
      </c>
      <c r="I77" s="199"/>
    </row>
    <row r="78" spans="2:9" ht="13.5" thickBot="1">
      <c r="B78" s="1276" t="s">
        <v>702</v>
      </c>
      <c r="C78" s="1277">
        <f>C79+C83</f>
        <v>272551.64</v>
      </c>
      <c r="I78" s="199"/>
    </row>
    <row r="79" spans="2:9" ht="13.5" thickBot="1">
      <c r="B79" s="1278" t="s">
        <v>411</v>
      </c>
      <c r="C79" s="1279">
        <f>SUM(C80:C82)</f>
        <v>98880</v>
      </c>
      <c r="D79" s="297"/>
      <c r="I79" s="199"/>
    </row>
    <row r="80" spans="2:9" ht="12.75">
      <c r="B80" s="1272" t="s">
        <v>698</v>
      </c>
      <c r="C80" s="1273">
        <v>20000</v>
      </c>
      <c r="I80" s="199"/>
    </row>
    <row r="81" spans="2:9" ht="12.75">
      <c r="B81" s="1266" t="s">
        <v>648</v>
      </c>
      <c r="C81" s="1267">
        <v>33880</v>
      </c>
      <c r="I81" s="199"/>
    </row>
    <row r="82" spans="2:9" ht="23.25" thickBot="1">
      <c r="B82" s="1268" t="s">
        <v>649</v>
      </c>
      <c r="C82" s="1269">
        <v>45000</v>
      </c>
      <c r="I82" s="199"/>
    </row>
    <row r="83" spans="2:9" ht="13.5" thickBot="1">
      <c r="B83" s="1278" t="s">
        <v>412</v>
      </c>
      <c r="C83" s="1279">
        <f>SUM(C84:C91)</f>
        <v>173671.64</v>
      </c>
      <c r="D83" s="297"/>
      <c r="I83" s="199"/>
    </row>
    <row r="84" spans="2:9" ht="12.75">
      <c r="B84" s="1272" t="s">
        <v>650</v>
      </c>
      <c r="C84" s="1273">
        <v>30000</v>
      </c>
      <c r="D84" s="292"/>
      <c r="I84" s="199"/>
    </row>
    <row r="85" spans="2:9" ht="22.5">
      <c r="B85" s="1270" t="s">
        <v>657</v>
      </c>
      <c r="C85" s="1267">
        <v>9917.01</v>
      </c>
      <c r="D85" s="292"/>
      <c r="I85" s="199"/>
    </row>
    <row r="86" spans="2:9" ht="12.75">
      <c r="B86" s="1266" t="s">
        <v>647</v>
      </c>
      <c r="C86" s="1267">
        <v>35000</v>
      </c>
      <c r="D86" s="292"/>
      <c r="I86" s="199"/>
    </row>
    <row r="87" spans="2:9" ht="12.75">
      <c r="B87" s="1266" t="s">
        <v>658</v>
      </c>
      <c r="C87" s="1267">
        <v>3500</v>
      </c>
      <c r="D87" s="292"/>
      <c r="I87" s="199"/>
    </row>
    <row r="88" spans="2:9" ht="12.75">
      <c r="B88" s="1266" t="s">
        <v>610</v>
      </c>
      <c r="C88" s="1267">
        <v>8000</v>
      </c>
      <c r="I88" s="199"/>
    </row>
    <row r="89" spans="2:9" ht="12.75">
      <c r="B89" s="1266" t="s">
        <v>701</v>
      </c>
      <c r="C89" s="1267">
        <v>3035.63</v>
      </c>
      <c r="I89" s="199"/>
    </row>
    <row r="90" spans="2:9" ht="12.75">
      <c r="B90" s="1266" t="s">
        <v>651</v>
      </c>
      <c r="C90" s="1267">
        <v>79219</v>
      </c>
      <c r="I90" s="199"/>
    </row>
    <row r="91" spans="2:9" ht="13.5" thickBot="1">
      <c r="B91" s="1271" t="s">
        <v>611</v>
      </c>
      <c r="C91" s="1269">
        <v>5000</v>
      </c>
      <c r="I91" s="199"/>
    </row>
    <row r="92" spans="2:9" ht="12.75">
      <c r="B92" s="121"/>
      <c r="C92" s="288"/>
      <c r="I92" s="199"/>
    </row>
    <row r="93" spans="2:9" s="32" customFormat="1" ht="12.75">
      <c r="B93" s="339"/>
      <c r="C93" s="340"/>
      <c r="I93" s="281"/>
    </row>
    <row r="94" spans="2:9" s="32" customFormat="1" ht="12.75">
      <c r="B94" s="339"/>
      <c r="C94" s="340"/>
      <c r="I94" s="281"/>
    </row>
    <row r="95" spans="2:9" s="32" customFormat="1" ht="12.75">
      <c r="B95" s="341"/>
      <c r="C95" s="342"/>
      <c r="I95" s="281"/>
    </row>
    <row r="96" spans="2:9" s="32" customFormat="1" ht="12.75">
      <c r="B96" s="339"/>
      <c r="C96" s="340"/>
      <c r="I96" s="281"/>
    </row>
    <row r="97" s="32" customFormat="1" ht="12.75">
      <c r="I97" s="281"/>
    </row>
    <row r="98" s="32" customFormat="1" ht="12.75">
      <c r="I98" s="281"/>
    </row>
    <row r="99" ht="12.75">
      <c r="I99" s="199"/>
    </row>
    <row r="100" ht="12.75">
      <c r="I100" s="199"/>
    </row>
    <row r="101" ht="12.75">
      <c r="I101" s="199"/>
    </row>
    <row r="102" ht="12.75">
      <c r="I102" s="199"/>
    </row>
    <row r="103" ht="12.75">
      <c r="I103" s="199"/>
    </row>
    <row r="104" ht="12.75">
      <c r="I104" s="199"/>
    </row>
    <row r="105" ht="12.75">
      <c r="I105" s="199"/>
    </row>
    <row r="106" ht="12.75">
      <c r="I106" s="199"/>
    </row>
    <row r="107" ht="12.75">
      <c r="I107" s="199"/>
    </row>
    <row r="108" ht="12.75">
      <c r="I108" s="199"/>
    </row>
    <row r="109" ht="12.75">
      <c r="I109" s="199"/>
    </row>
    <row r="110" ht="12.75">
      <c r="I110" s="199"/>
    </row>
    <row r="111" ht="12.75">
      <c r="I111" s="199"/>
    </row>
    <row r="112" ht="12.75">
      <c r="I112" s="199"/>
    </row>
    <row r="113" ht="12.75">
      <c r="I113" s="199"/>
    </row>
    <row r="114" ht="12.75">
      <c r="I114" s="199"/>
    </row>
    <row r="115" ht="12.75">
      <c r="I115" s="199"/>
    </row>
    <row r="116" ht="12.75">
      <c r="I116" s="199"/>
    </row>
    <row r="117" ht="12.75">
      <c r="I117" s="199"/>
    </row>
    <row r="118" ht="12.75">
      <c r="I118" s="199"/>
    </row>
    <row r="119" ht="12.75">
      <c r="I119" s="199"/>
    </row>
    <row r="120" ht="12.75">
      <c r="I120" s="199"/>
    </row>
    <row r="121" ht="12.75">
      <c r="I121" s="199"/>
    </row>
    <row r="122" ht="12.75">
      <c r="I122" s="199"/>
    </row>
    <row r="123" ht="12.75">
      <c r="I123" s="199"/>
    </row>
    <row r="124" ht="12.75">
      <c r="I124" s="199"/>
    </row>
    <row r="125" ht="12.75">
      <c r="I125" s="199"/>
    </row>
    <row r="126" ht="12.75">
      <c r="I126" s="199"/>
    </row>
    <row r="127" ht="12.75">
      <c r="I127" s="199"/>
    </row>
    <row r="128" ht="12.75">
      <c r="I128" s="199"/>
    </row>
    <row r="129" ht="12.75">
      <c r="I129" s="199"/>
    </row>
    <row r="130" ht="12.75">
      <c r="I130" s="199"/>
    </row>
    <row r="131" ht="12.75">
      <c r="I131" s="199"/>
    </row>
    <row r="132" ht="12.75">
      <c r="I132" s="199"/>
    </row>
    <row r="133" ht="12.75">
      <c r="I133" s="199"/>
    </row>
    <row r="134" ht="12.75">
      <c r="I134" s="199"/>
    </row>
    <row r="135" ht="12.75">
      <c r="I135" s="199"/>
    </row>
    <row r="136" ht="12.75">
      <c r="I136" s="199"/>
    </row>
    <row r="137" ht="12.75">
      <c r="I137" s="199"/>
    </row>
    <row r="138" ht="12.75">
      <c r="I138" s="199"/>
    </row>
    <row r="139" ht="12.75">
      <c r="I139" s="199"/>
    </row>
  </sheetData>
  <sheetProtection/>
  <mergeCells count="1">
    <mergeCell ref="A1:B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33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3.7109375" style="0" customWidth="1"/>
    <col min="4" max="4" width="4.00390625" style="0" customWidth="1"/>
    <col min="5" max="5" width="29.8515625" style="0" customWidth="1"/>
    <col min="6" max="7" width="10.57421875" style="0" customWidth="1"/>
    <col min="8" max="8" width="11.421875" style="0" bestFit="1" customWidth="1"/>
    <col min="9" max="9" width="11.28125" style="0" bestFit="1" customWidth="1"/>
    <col min="10" max="10" width="11.421875" style="0" bestFit="1" customWidth="1"/>
    <col min="11" max="12" width="11.28125" style="0" bestFit="1" customWidth="1"/>
  </cols>
  <sheetData>
    <row r="1" spans="2:5" ht="13.5" thickBot="1">
      <c r="B1" s="5"/>
      <c r="C1" s="6"/>
      <c r="D1" s="6"/>
      <c r="E1" s="7"/>
    </row>
    <row r="2" spans="1:12" ht="12.75">
      <c r="A2" s="1424" t="s">
        <v>56</v>
      </c>
      <c r="B2" s="1425"/>
      <c r="C2" s="1425"/>
      <c r="D2" s="1425"/>
      <c r="E2" s="1426"/>
      <c r="F2" s="79" t="s">
        <v>213</v>
      </c>
      <c r="G2" s="79" t="s">
        <v>213</v>
      </c>
      <c r="H2" s="51" t="s">
        <v>214</v>
      </c>
      <c r="I2" s="78" t="s">
        <v>216</v>
      </c>
      <c r="J2" s="134" t="s">
        <v>12</v>
      </c>
      <c r="K2" s="117" t="s">
        <v>12</v>
      </c>
      <c r="L2" s="117" t="s">
        <v>12</v>
      </c>
    </row>
    <row r="3" spans="1:12" ht="13.5" thickBot="1">
      <c r="A3" s="1427"/>
      <c r="B3" s="1428"/>
      <c r="C3" s="1428"/>
      <c r="D3" s="1428"/>
      <c r="E3" s="1429"/>
      <c r="F3" s="80"/>
      <c r="G3" s="80"/>
      <c r="H3" s="52" t="s">
        <v>215</v>
      </c>
      <c r="I3" s="52" t="s">
        <v>217</v>
      </c>
      <c r="J3" s="135"/>
      <c r="K3" s="118" t="s">
        <v>320</v>
      </c>
      <c r="L3" s="118" t="s">
        <v>320</v>
      </c>
    </row>
    <row r="4" spans="1:12" ht="15.75">
      <c r="A4" s="1438" t="s">
        <v>180</v>
      </c>
      <c r="B4" s="1440" t="s">
        <v>13</v>
      </c>
      <c r="C4" s="1440" t="s">
        <v>14</v>
      </c>
      <c r="D4" s="1440" t="s">
        <v>181</v>
      </c>
      <c r="E4" s="1436" t="s">
        <v>129</v>
      </c>
      <c r="F4" s="81">
        <v>2021</v>
      </c>
      <c r="G4" s="81">
        <v>2022</v>
      </c>
      <c r="H4" s="82" t="s">
        <v>332</v>
      </c>
      <c r="I4" s="82" t="s">
        <v>332</v>
      </c>
      <c r="J4" s="136" t="s">
        <v>368</v>
      </c>
      <c r="K4" s="119" t="s">
        <v>421</v>
      </c>
      <c r="L4" s="119" t="s">
        <v>524</v>
      </c>
    </row>
    <row r="5" spans="1:12" ht="24.75" customHeight="1" thickBot="1">
      <c r="A5" s="1439"/>
      <c r="B5" s="1441"/>
      <c r="C5" s="1441"/>
      <c r="D5" s="1441"/>
      <c r="E5" s="1437"/>
      <c r="F5" s="83" t="s">
        <v>207</v>
      </c>
      <c r="G5" s="83" t="s">
        <v>207</v>
      </c>
      <c r="H5" s="84" t="s">
        <v>207</v>
      </c>
      <c r="I5" s="84" t="s">
        <v>207</v>
      </c>
      <c r="J5" s="138" t="s">
        <v>207</v>
      </c>
      <c r="K5" s="122" t="s">
        <v>207</v>
      </c>
      <c r="L5" s="122" t="s">
        <v>207</v>
      </c>
    </row>
    <row r="6" spans="1:12" ht="14.25" thickBot="1" thickTop="1">
      <c r="A6" s="511">
        <v>1</v>
      </c>
      <c r="B6" s="1442" t="s">
        <v>249</v>
      </c>
      <c r="C6" s="1443"/>
      <c r="D6" s="1443"/>
      <c r="E6" s="1444"/>
      <c r="F6" s="616">
        <f aca="true" t="shared" si="0" ref="F6:L6">F7+F9</f>
        <v>3743.2</v>
      </c>
      <c r="G6" s="616">
        <f t="shared" si="0"/>
        <v>4625.6</v>
      </c>
      <c r="H6" s="616">
        <f t="shared" si="0"/>
        <v>5892646.59</v>
      </c>
      <c r="I6" s="616">
        <f t="shared" si="0"/>
        <v>96175</v>
      </c>
      <c r="J6" s="616">
        <f t="shared" si="0"/>
        <v>2379426.76</v>
      </c>
      <c r="K6" s="616">
        <f t="shared" si="0"/>
        <v>1000</v>
      </c>
      <c r="L6" s="616">
        <f t="shared" si="0"/>
        <v>1000</v>
      </c>
    </row>
    <row r="7" spans="1:12" ht="13.5" thickTop="1">
      <c r="A7" s="511">
        <v>2</v>
      </c>
      <c r="B7" s="617" t="s">
        <v>57</v>
      </c>
      <c r="C7" s="1445" t="s">
        <v>248</v>
      </c>
      <c r="D7" s="1446"/>
      <c r="E7" s="1447"/>
      <c r="F7" s="618">
        <f aca="true" t="shared" si="1" ref="F7:L7">F8</f>
        <v>3743.2</v>
      </c>
      <c r="G7" s="618">
        <f t="shared" si="1"/>
        <v>4625.6</v>
      </c>
      <c r="H7" s="618">
        <f t="shared" si="1"/>
        <v>1000</v>
      </c>
      <c r="I7" s="618">
        <f t="shared" si="1"/>
        <v>1175</v>
      </c>
      <c r="J7" s="618">
        <f t="shared" si="1"/>
        <v>1000</v>
      </c>
      <c r="K7" s="618">
        <f t="shared" si="1"/>
        <v>1000</v>
      </c>
      <c r="L7" s="618">
        <f t="shared" si="1"/>
        <v>1000</v>
      </c>
    </row>
    <row r="8" spans="1:12" ht="12.75">
      <c r="A8" s="511">
        <v>3</v>
      </c>
      <c r="B8" s="523"/>
      <c r="C8" s="523" t="s">
        <v>58</v>
      </c>
      <c r="D8" s="591" t="s">
        <v>24</v>
      </c>
      <c r="E8" s="619" t="s">
        <v>99</v>
      </c>
      <c r="F8" s="620">
        <v>3743.2</v>
      </c>
      <c r="G8" s="620">
        <v>4625.6</v>
      </c>
      <c r="H8" s="620">
        <v>1000</v>
      </c>
      <c r="I8" s="621">
        <v>1175</v>
      </c>
      <c r="J8" s="620">
        <v>1000</v>
      </c>
      <c r="K8" s="620">
        <v>1000</v>
      </c>
      <c r="L8" s="620">
        <v>1000</v>
      </c>
    </row>
    <row r="9" spans="1:12" ht="12.75">
      <c r="A9" s="533">
        <v>4</v>
      </c>
      <c r="B9" s="622" t="s">
        <v>50</v>
      </c>
      <c r="C9" s="1448" t="s">
        <v>210</v>
      </c>
      <c r="D9" s="1449"/>
      <c r="E9" s="1450"/>
      <c r="F9" s="623">
        <f>SUM(F13:F17)</f>
        <v>0</v>
      </c>
      <c r="G9" s="623">
        <f>SUM(G13:G17)</f>
        <v>0</v>
      </c>
      <c r="H9" s="623">
        <f>SUM(H10:H17)</f>
        <v>5891646.59</v>
      </c>
      <c r="I9" s="623">
        <f>SUM(I10:I17)</f>
        <v>95000</v>
      </c>
      <c r="J9" s="623">
        <f>SUM(J10:J17)</f>
        <v>2378426.76</v>
      </c>
      <c r="K9" s="623">
        <f>SUM(K10:K17)</f>
        <v>0</v>
      </c>
      <c r="L9" s="623">
        <f>SUM(L10:L17)</f>
        <v>0</v>
      </c>
    </row>
    <row r="10" spans="1:12" ht="36">
      <c r="A10" s="511">
        <v>5</v>
      </c>
      <c r="B10" s="595"/>
      <c r="C10" s="624"/>
      <c r="D10" s="624"/>
      <c r="E10" s="476" t="s">
        <v>547</v>
      </c>
      <c r="F10" s="625">
        <v>0</v>
      </c>
      <c r="G10" s="625">
        <v>0</v>
      </c>
      <c r="H10" s="625">
        <v>0</v>
      </c>
      <c r="I10" s="625">
        <v>15000</v>
      </c>
      <c r="J10" s="625">
        <v>0</v>
      </c>
      <c r="K10" s="625">
        <v>0</v>
      </c>
      <c r="L10" s="625">
        <v>0</v>
      </c>
    </row>
    <row r="11" spans="1:12" ht="24">
      <c r="A11" s="511">
        <v>6</v>
      </c>
      <c r="B11" s="595"/>
      <c r="C11" s="624"/>
      <c r="D11" s="624"/>
      <c r="E11" s="476" t="s">
        <v>548</v>
      </c>
      <c r="F11" s="625">
        <v>0</v>
      </c>
      <c r="G11" s="625">
        <v>0</v>
      </c>
      <c r="H11" s="625">
        <v>0</v>
      </c>
      <c r="I11" s="625">
        <v>0</v>
      </c>
      <c r="J11" s="625">
        <v>300000</v>
      </c>
      <c r="K11" s="625">
        <v>0</v>
      </c>
      <c r="L11" s="625">
        <v>0</v>
      </c>
    </row>
    <row r="12" spans="1:13" ht="24">
      <c r="A12" s="533">
        <v>7</v>
      </c>
      <c r="B12" s="626"/>
      <c r="C12" s="627"/>
      <c r="D12" s="627"/>
      <c r="E12" s="476" t="s">
        <v>549</v>
      </c>
      <c r="F12" s="620">
        <v>0</v>
      </c>
      <c r="G12" s="620">
        <v>0</v>
      </c>
      <c r="H12" s="620">
        <v>198340.23</v>
      </c>
      <c r="I12" s="620">
        <v>0</v>
      </c>
      <c r="J12" s="621">
        <v>198340.23</v>
      </c>
      <c r="K12" s="621">
        <v>0</v>
      </c>
      <c r="L12" s="620">
        <v>0</v>
      </c>
      <c r="M12" s="22"/>
    </row>
    <row r="13" spans="1:13" ht="12.75">
      <c r="A13" s="533">
        <v>8</v>
      </c>
      <c r="B13" s="626"/>
      <c r="C13" s="627"/>
      <c r="D13" s="627"/>
      <c r="E13" s="476" t="s">
        <v>550</v>
      </c>
      <c r="F13" s="620">
        <v>0</v>
      </c>
      <c r="G13" s="620">
        <v>0</v>
      </c>
      <c r="H13" s="620">
        <v>0</v>
      </c>
      <c r="I13" s="620">
        <v>80000</v>
      </c>
      <c r="J13" s="621">
        <v>0</v>
      </c>
      <c r="K13" s="621">
        <v>0</v>
      </c>
      <c r="L13" s="620">
        <v>0</v>
      </c>
      <c r="M13" s="22"/>
    </row>
    <row r="14" spans="1:13" ht="12.75">
      <c r="A14" s="533">
        <v>9</v>
      </c>
      <c r="B14" s="626"/>
      <c r="C14" s="627"/>
      <c r="D14" s="627"/>
      <c r="E14" s="476" t="s">
        <v>551</v>
      </c>
      <c r="F14" s="620">
        <v>0</v>
      </c>
      <c r="G14" s="620">
        <v>0</v>
      </c>
      <c r="H14" s="620">
        <v>495860</v>
      </c>
      <c r="I14" s="620">
        <v>0</v>
      </c>
      <c r="J14" s="621">
        <v>0</v>
      </c>
      <c r="K14" s="621">
        <v>0</v>
      </c>
      <c r="L14" s="620">
        <v>0</v>
      </c>
      <c r="M14" s="22"/>
    </row>
    <row r="15" spans="1:13" ht="24">
      <c r="A15" s="533">
        <v>10</v>
      </c>
      <c r="B15" s="626"/>
      <c r="C15" s="627"/>
      <c r="D15" s="627"/>
      <c r="E15" s="476" t="s">
        <v>521</v>
      </c>
      <c r="F15" s="620">
        <v>0</v>
      </c>
      <c r="G15" s="620">
        <v>0</v>
      </c>
      <c r="H15" s="620">
        <v>3325000</v>
      </c>
      <c r="I15" s="620">
        <v>0</v>
      </c>
      <c r="J15" s="621">
        <v>0</v>
      </c>
      <c r="K15" s="621"/>
      <c r="L15" s="620"/>
      <c r="M15" s="22"/>
    </row>
    <row r="16" spans="1:13" ht="12.75">
      <c r="A16" s="533">
        <v>11</v>
      </c>
      <c r="B16" s="626"/>
      <c r="C16" s="627"/>
      <c r="D16" s="627"/>
      <c r="E16" s="476" t="s">
        <v>503</v>
      </c>
      <c r="F16" s="620">
        <v>0</v>
      </c>
      <c r="G16" s="620">
        <v>0</v>
      </c>
      <c r="H16" s="620">
        <v>1608905.46</v>
      </c>
      <c r="I16" s="620">
        <v>0</v>
      </c>
      <c r="J16" s="621">
        <v>1608905.46</v>
      </c>
      <c r="K16" s="621">
        <v>0</v>
      </c>
      <c r="L16" s="620">
        <v>0</v>
      </c>
      <c r="M16" s="22"/>
    </row>
    <row r="17" spans="1:13" ht="13.5" thickBot="1">
      <c r="A17" s="534">
        <v>12</v>
      </c>
      <c r="B17" s="628"/>
      <c r="C17" s="629"/>
      <c r="D17" s="629"/>
      <c r="E17" s="630" t="s">
        <v>436</v>
      </c>
      <c r="F17" s="631">
        <v>0</v>
      </c>
      <c r="G17" s="631">
        <v>0</v>
      </c>
      <c r="H17" s="631">
        <v>263540.9</v>
      </c>
      <c r="I17" s="631">
        <v>0</v>
      </c>
      <c r="J17" s="631">
        <v>271181.07</v>
      </c>
      <c r="K17" s="631">
        <v>0</v>
      </c>
      <c r="L17" s="631">
        <v>0</v>
      </c>
      <c r="M17" s="22"/>
    </row>
    <row r="18" spans="1:12" ht="13.5" thickBot="1">
      <c r="A18" s="632">
        <v>13</v>
      </c>
      <c r="B18" s="611"/>
      <c r="C18" s="612"/>
      <c r="D18" s="613"/>
      <c r="E18" s="633" t="s">
        <v>59</v>
      </c>
      <c r="F18" s="634">
        <f aca="true" t="shared" si="2" ref="F18:L18">F6</f>
        <v>3743.2</v>
      </c>
      <c r="G18" s="634">
        <f t="shared" si="2"/>
        <v>4625.6</v>
      </c>
      <c r="H18" s="634">
        <f t="shared" si="2"/>
        <v>5892646.59</v>
      </c>
      <c r="I18" s="634">
        <f t="shared" si="2"/>
        <v>96175</v>
      </c>
      <c r="J18" s="634">
        <f t="shared" si="2"/>
        <v>2379426.76</v>
      </c>
      <c r="K18" s="634">
        <f t="shared" si="2"/>
        <v>1000</v>
      </c>
      <c r="L18" s="634">
        <f t="shared" si="2"/>
        <v>1000</v>
      </c>
    </row>
    <row r="19" spans="1:12" ht="12.75">
      <c r="A19" s="5"/>
      <c r="B19" s="7"/>
      <c r="C19" s="7"/>
      <c r="D19" s="7"/>
      <c r="E19" s="9"/>
      <c r="F19" s="10"/>
      <c r="G19" s="10"/>
      <c r="H19" s="10"/>
      <c r="I19" s="10"/>
      <c r="J19" s="10"/>
      <c r="K19" s="10"/>
      <c r="L19" s="10"/>
    </row>
    <row r="20" spans="1:12" ht="12.75">
      <c r="A20" s="5"/>
      <c r="B20" s="7"/>
      <c r="C20" s="7"/>
      <c r="D20" s="11"/>
      <c r="E20" s="12"/>
      <c r="F20" s="10"/>
      <c r="G20" s="10"/>
      <c r="H20" s="10"/>
      <c r="I20" s="10"/>
      <c r="J20" s="10"/>
      <c r="K20" s="10"/>
      <c r="L20" s="10"/>
    </row>
    <row r="21" spans="1:12" ht="13.5" thickBot="1">
      <c r="A21" s="5"/>
      <c r="B21" s="13"/>
      <c r="C21" s="7"/>
      <c r="D21" s="7"/>
      <c r="E21" s="14"/>
      <c r="F21" s="10"/>
      <c r="G21" s="10"/>
      <c r="H21" s="10"/>
      <c r="I21" s="10"/>
      <c r="J21" s="10"/>
      <c r="K21" s="10"/>
      <c r="L21" s="10"/>
    </row>
    <row r="22" spans="1:12" ht="12.75" customHeight="1">
      <c r="A22" s="1430" t="s">
        <v>60</v>
      </c>
      <c r="B22" s="1431"/>
      <c r="C22" s="1431"/>
      <c r="D22" s="1431"/>
      <c r="E22" s="1432"/>
      <c r="F22" s="79" t="s">
        <v>213</v>
      </c>
      <c r="G22" s="79" t="s">
        <v>213</v>
      </c>
      <c r="H22" s="51" t="s">
        <v>214</v>
      </c>
      <c r="I22" s="78" t="s">
        <v>216</v>
      </c>
      <c r="J22" s="134" t="s">
        <v>12</v>
      </c>
      <c r="K22" s="117" t="s">
        <v>12</v>
      </c>
      <c r="L22" s="117" t="s">
        <v>12</v>
      </c>
    </row>
    <row r="23" spans="1:12" ht="13.5" customHeight="1" thickBot="1">
      <c r="A23" s="1433"/>
      <c r="B23" s="1434"/>
      <c r="C23" s="1434"/>
      <c r="D23" s="1434"/>
      <c r="E23" s="1435"/>
      <c r="F23" s="80"/>
      <c r="G23" s="80"/>
      <c r="H23" s="52" t="s">
        <v>215</v>
      </c>
      <c r="I23" s="52" t="s">
        <v>217</v>
      </c>
      <c r="J23" s="135"/>
      <c r="K23" s="118" t="s">
        <v>320</v>
      </c>
      <c r="L23" s="118" t="s">
        <v>320</v>
      </c>
    </row>
    <row r="24" spans="1:12" ht="15.75">
      <c r="A24" s="1438" t="s">
        <v>180</v>
      </c>
      <c r="B24" s="2"/>
      <c r="C24" s="2"/>
      <c r="D24" s="2"/>
      <c r="E24" s="1454" t="s">
        <v>129</v>
      </c>
      <c r="F24" s="81">
        <v>2021</v>
      </c>
      <c r="G24" s="81">
        <v>2022</v>
      </c>
      <c r="H24" s="82" t="s">
        <v>332</v>
      </c>
      <c r="I24" s="82" t="s">
        <v>332</v>
      </c>
      <c r="J24" s="136" t="s">
        <v>368</v>
      </c>
      <c r="K24" s="119" t="s">
        <v>421</v>
      </c>
      <c r="L24" s="119" t="s">
        <v>524</v>
      </c>
    </row>
    <row r="25" spans="1:12" ht="17.25" customHeight="1" thickBot="1">
      <c r="A25" s="1439"/>
      <c r="B25" s="47"/>
      <c r="C25" s="48"/>
      <c r="D25" s="47"/>
      <c r="E25" s="1455"/>
      <c r="F25" s="83" t="s">
        <v>207</v>
      </c>
      <c r="G25" s="83" t="s">
        <v>207</v>
      </c>
      <c r="H25" s="84" t="s">
        <v>207</v>
      </c>
      <c r="I25" s="84" t="s">
        <v>207</v>
      </c>
      <c r="J25" s="138" t="s">
        <v>207</v>
      </c>
      <c r="K25" s="122" t="s">
        <v>207</v>
      </c>
      <c r="L25" s="122" t="s">
        <v>207</v>
      </c>
    </row>
    <row r="26" spans="1:12" ht="22.5" customHeight="1" thickTop="1">
      <c r="A26" s="635">
        <v>1</v>
      </c>
      <c r="B26" s="1456" t="s">
        <v>465</v>
      </c>
      <c r="C26" s="1457"/>
      <c r="D26" s="1458"/>
      <c r="E26" s="636" t="s">
        <v>55</v>
      </c>
      <c r="F26" s="720">
        <f>'Bežné príjmy'!G119</f>
        <v>1876766.72</v>
      </c>
      <c r="G26" s="720">
        <f>'Bežné príjmy'!H119</f>
        <v>2002597.04</v>
      </c>
      <c r="H26" s="637">
        <f>'Bežné príjmy'!I119</f>
        <v>1916213.82</v>
      </c>
      <c r="I26" s="637">
        <f>'Bežné príjmy'!J119</f>
        <v>2237790.87</v>
      </c>
      <c r="J26" s="637">
        <f>'Bežné príjmy'!K119</f>
        <v>2137932.396</v>
      </c>
      <c r="K26" s="637">
        <f>'Bežné príjmy'!L119</f>
        <v>2186856.6960000005</v>
      </c>
      <c r="L26" s="637">
        <f>'Bežné príjmy'!M119</f>
        <v>2244839.6960000005</v>
      </c>
    </row>
    <row r="27" spans="1:12" ht="24.75" customHeight="1" thickBot="1">
      <c r="A27" s="638">
        <v>2</v>
      </c>
      <c r="B27" s="1459" t="s">
        <v>466</v>
      </c>
      <c r="C27" s="1460"/>
      <c r="D27" s="1461"/>
      <c r="E27" s="639" t="s">
        <v>59</v>
      </c>
      <c r="F27" s="721">
        <f>F18</f>
        <v>3743.2</v>
      </c>
      <c r="G27" s="721">
        <f aca="true" t="shared" si="3" ref="G27:L27">G18</f>
        <v>4625.6</v>
      </c>
      <c r="H27" s="640">
        <f t="shared" si="3"/>
        <v>5892646.59</v>
      </c>
      <c r="I27" s="640">
        <f t="shared" si="3"/>
        <v>96175</v>
      </c>
      <c r="J27" s="640">
        <f t="shared" si="3"/>
        <v>2379426.76</v>
      </c>
      <c r="K27" s="640">
        <f t="shared" si="3"/>
        <v>1000</v>
      </c>
      <c r="L27" s="640">
        <f t="shared" si="3"/>
        <v>1000</v>
      </c>
    </row>
    <row r="28" spans="1:12" ht="27" customHeight="1" thickBot="1">
      <c r="A28" s="641">
        <v>3</v>
      </c>
      <c r="B28" s="1451" t="s">
        <v>61</v>
      </c>
      <c r="C28" s="1452"/>
      <c r="D28" s="1452"/>
      <c r="E28" s="1453"/>
      <c r="F28" s="722">
        <f>F26+F27</f>
        <v>1880509.92</v>
      </c>
      <c r="G28" s="722">
        <f aca="true" t="shared" si="4" ref="G28:L28">G26+G27</f>
        <v>2007222.6400000001</v>
      </c>
      <c r="H28" s="642">
        <f t="shared" si="4"/>
        <v>7808860.41</v>
      </c>
      <c r="I28" s="642">
        <f t="shared" si="4"/>
        <v>2333965.87</v>
      </c>
      <c r="J28" s="642">
        <f t="shared" si="4"/>
        <v>4517359.1559999995</v>
      </c>
      <c r="K28" s="642">
        <f t="shared" si="4"/>
        <v>2187856.6960000005</v>
      </c>
      <c r="L28" s="642">
        <f t="shared" si="4"/>
        <v>2245839.6960000005</v>
      </c>
    </row>
    <row r="29" spans="2:5" ht="12.75">
      <c r="B29" s="5"/>
      <c r="C29" s="13"/>
      <c r="D29" s="6"/>
      <c r="E29" s="7"/>
    </row>
    <row r="30" spans="5:12" ht="12.75">
      <c r="E30" s="37"/>
      <c r="F30" s="43"/>
      <c r="G30" s="43"/>
      <c r="H30" s="43"/>
      <c r="I30" s="43"/>
      <c r="J30" s="43"/>
      <c r="K30" s="43"/>
      <c r="L30" s="43"/>
    </row>
    <row r="31" spans="5:12" ht="12.75">
      <c r="E31" s="24"/>
      <c r="F31" s="44"/>
      <c r="G31" s="44"/>
      <c r="H31" s="44"/>
      <c r="I31" s="44"/>
      <c r="J31" s="44"/>
      <c r="K31" s="44"/>
      <c r="L31" s="44"/>
    </row>
    <row r="32" spans="5:12" ht="12.75">
      <c r="E32" s="32"/>
      <c r="F32" s="44"/>
      <c r="G32" s="44"/>
      <c r="H32" s="44"/>
      <c r="I32" s="44"/>
      <c r="J32" s="44"/>
      <c r="K32" s="44"/>
      <c r="L32" s="44"/>
    </row>
    <row r="33" spans="5:12" ht="12.75">
      <c r="E33" s="32"/>
      <c r="F33" s="44"/>
      <c r="G33" s="44"/>
      <c r="H33" s="44"/>
      <c r="I33" s="4"/>
      <c r="J33" s="44"/>
      <c r="K33" s="44"/>
      <c r="L33" s="44"/>
    </row>
  </sheetData>
  <sheetProtection/>
  <mergeCells count="15">
    <mergeCell ref="B28:E28"/>
    <mergeCell ref="C4:C5"/>
    <mergeCell ref="D4:D5"/>
    <mergeCell ref="E24:E25"/>
    <mergeCell ref="A24:A25"/>
    <mergeCell ref="B26:D26"/>
    <mergeCell ref="B27:D27"/>
    <mergeCell ref="A2:E3"/>
    <mergeCell ref="A22:E23"/>
    <mergeCell ref="E4:E5"/>
    <mergeCell ref="A4:A5"/>
    <mergeCell ref="B4:B5"/>
    <mergeCell ref="B6:E6"/>
    <mergeCell ref="C7:E7"/>
    <mergeCell ref="C9:E9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30" zoomScaleNormal="130" zoomScalePageLayoutView="0" workbookViewId="0" topLeftCell="A1">
      <selection activeCell="O14" sqref="O14"/>
    </sheetView>
  </sheetViews>
  <sheetFormatPr defaultColWidth="9.140625" defaultRowHeight="12.75"/>
  <cols>
    <col min="1" max="1" width="2.421875" style="0" customWidth="1"/>
    <col min="2" max="3" width="5.28125" style="0" customWidth="1"/>
    <col min="4" max="4" width="28.421875" style="0" customWidth="1"/>
    <col min="5" max="6" width="10.28125" style="0" bestFit="1" customWidth="1"/>
    <col min="7" max="7" width="9.00390625" style="0" bestFit="1" customWidth="1"/>
    <col min="8" max="8" width="10.28125" style="0" bestFit="1" customWidth="1"/>
    <col min="9" max="11" width="8.421875" style="0" bestFit="1" customWidth="1"/>
  </cols>
  <sheetData>
    <row r="1" spans="1:2" ht="15" thickBot="1">
      <c r="A1" s="15"/>
      <c r="B1" s="85" t="s">
        <v>220</v>
      </c>
    </row>
    <row r="2" spans="1:11" ht="15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16"/>
      <c r="B3" s="17"/>
      <c r="C3" s="18"/>
      <c r="D3" s="19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82" t="s">
        <v>332</v>
      </c>
      <c r="H4" s="126">
        <v>2023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2" ht="30" customHeight="1" thickBot="1" thickTop="1">
      <c r="A6" s="1257">
        <v>1</v>
      </c>
      <c r="B6" s="1472" t="s">
        <v>470</v>
      </c>
      <c r="C6" s="1473"/>
      <c r="D6" s="1474"/>
      <c r="E6" s="154">
        <f>E7+E12+E16</f>
        <v>8355.619999999999</v>
      </c>
      <c r="F6" s="154">
        <f aca="true" t="shared" si="0" ref="F6:K6">F7+F12+F16</f>
        <v>5474.1900000000005</v>
      </c>
      <c r="G6" s="154">
        <f t="shared" si="0"/>
        <v>5649</v>
      </c>
      <c r="H6" s="154">
        <f t="shared" si="0"/>
        <v>9664</v>
      </c>
      <c r="I6" s="154">
        <f t="shared" si="0"/>
        <v>7533</v>
      </c>
      <c r="J6" s="154">
        <f t="shared" si="0"/>
        <v>7553</v>
      </c>
      <c r="K6" s="154">
        <f t="shared" si="0"/>
        <v>7683</v>
      </c>
      <c r="L6" s="22"/>
    </row>
    <row r="7" spans="1:12" ht="13.5" thickTop="1">
      <c r="A7" s="1257">
        <v>2</v>
      </c>
      <c r="B7" s="86">
        <v>1</v>
      </c>
      <c r="C7" s="478" t="s">
        <v>77</v>
      </c>
      <c r="D7" s="458"/>
      <c r="E7" s="109">
        <f aca="true" t="shared" si="1" ref="E7:K7">E8</f>
        <v>2495.5699999999997</v>
      </c>
      <c r="F7" s="109">
        <f t="shared" si="1"/>
        <v>1359.23</v>
      </c>
      <c r="G7" s="109">
        <f t="shared" si="1"/>
        <v>2500</v>
      </c>
      <c r="H7" s="109">
        <f t="shared" si="1"/>
        <v>3300</v>
      </c>
      <c r="I7" s="109">
        <f t="shared" si="1"/>
        <v>3200</v>
      </c>
      <c r="J7" s="109">
        <f t="shared" si="1"/>
        <v>3200</v>
      </c>
      <c r="K7" s="109">
        <f t="shared" si="1"/>
        <v>3300</v>
      </c>
      <c r="L7" s="22"/>
    </row>
    <row r="8" spans="1:12" ht="12.75">
      <c r="A8" s="1258">
        <v>3</v>
      </c>
      <c r="B8" s="192" t="s">
        <v>185</v>
      </c>
      <c r="C8" s="725" t="s">
        <v>354</v>
      </c>
      <c r="D8" s="496"/>
      <c r="E8" s="155">
        <f>E9+E10</f>
        <v>2495.5699999999997</v>
      </c>
      <c r="F8" s="155">
        <f>F9+F10</f>
        <v>1359.23</v>
      </c>
      <c r="G8" s="155">
        <f>SUM(G9:G11)</f>
        <v>2500</v>
      </c>
      <c r="H8" s="155">
        <f>SUM(H9:H11)</f>
        <v>3300</v>
      </c>
      <c r="I8" s="155">
        <f>SUM(I9:I11)</f>
        <v>3200</v>
      </c>
      <c r="J8" s="155">
        <f>SUM(J9:J11)</f>
        <v>3200</v>
      </c>
      <c r="K8" s="155">
        <f>SUM(K9:K11)</f>
        <v>3300</v>
      </c>
      <c r="L8" s="22"/>
    </row>
    <row r="9" spans="1:12" ht="36">
      <c r="A9" s="1258">
        <v>4</v>
      </c>
      <c r="B9" s="89"/>
      <c r="C9" s="726" t="s">
        <v>218</v>
      </c>
      <c r="D9" s="500" t="s">
        <v>619</v>
      </c>
      <c r="E9" s="161">
        <v>349.97</v>
      </c>
      <c r="F9" s="161">
        <v>965.63</v>
      </c>
      <c r="G9" s="161">
        <v>900</v>
      </c>
      <c r="H9" s="161">
        <v>2000</v>
      </c>
      <c r="I9" s="161">
        <v>1900</v>
      </c>
      <c r="J9" s="161">
        <v>1900</v>
      </c>
      <c r="K9" s="161">
        <v>1900</v>
      </c>
      <c r="L9" s="22"/>
    </row>
    <row r="10" spans="1:12" ht="12.75">
      <c r="A10" s="1258">
        <v>5</v>
      </c>
      <c r="B10" s="95"/>
      <c r="C10" s="728" t="s">
        <v>218</v>
      </c>
      <c r="D10" s="503" t="s">
        <v>419</v>
      </c>
      <c r="E10" s="148">
        <v>2145.6</v>
      </c>
      <c r="F10" s="148">
        <v>393.6</v>
      </c>
      <c r="G10" s="148">
        <v>400</v>
      </c>
      <c r="H10" s="148">
        <v>400</v>
      </c>
      <c r="I10" s="148">
        <v>400</v>
      </c>
      <c r="J10" s="148">
        <v>400</v>
      </c>
      <c r="K10" s="148">
        <v>500</v>
      </c>
      <c r="L10" s="22"/>
    </row>
    <row r="11" spans="1:12" ht="12.75">
      <c r="A11" s="1258">
        <v>6</v>
      </c>
      <c r="B11" s="95"/>
      <c r="C11" s="726" t="s">
        <v>218</v>
      </c>
      <c r="D11" s="491" t="s">
        <v>539</v>
      </c>
      <c r="E11" s="147">
        <v>0</v>
      </c>
      <c r="F11" s="147">
        <v>0</v>
      </c>
      <c r="G11" s="147">
        <v>1200</v>
      </c>
      <c r="H11" s="147">
        <v>900</v>
      </c>
      <c r="I11" s="147">
        <v>900</v>
      </c>
      <c r="J11" s="147">
        <v>900</v>
      </c>
      <c r="K11" s="147">
        <v>900</v>
      </c>
      <c r="L11" s="22"/>
    </row>
    <row r="12" spans="1:12" ht="27" customHeight="1">
      <c r="A12" s="1258">
        <v>7</v>
      </c>
      <c r="B12" s="91">
        <v>2</v>
      </c>
      <c r="C12" s="1462" t="s">
        <v>681</v>
      </c>
      <c r="D12" s="1463"/>
      <c r="E12" s="109">
        <f aca="true" t="shared" si="2" ref="E12:K13">E13</f>
        <v>3684.05</v>
      </c>
      <c r="F12" s="109">
        <f t="shared" si="2"/>
        <v>1766.66</v>
      </c>
      <c r="G12" s="109">
        <f t="shared" si="2"/>
        <v>800</v>
      </c>
      <c r="H12" s="109">
        <f t="shared" si="2"/>
        <v>4011</v>
      </c>
      <c r="I12" s="109">
        <f t="shared" si="2"/>
        <v>1980</v>
      </c>
      <c r="J12" s="109">
        <f t="shared" si="2"/>
        <v>2000</v>
      </c>
      <c r="K12" s="109">
        <f t="shared" si="2"/>
        <v>2030</v>
      </c>
      <c r="L12" s="22"/>
    </row>
    <row r="13" spans="1:12" ht="12.75">
      <c r="A13" s="1258">
        <v>8</v>
      </c>
      <c r="B13" s="87" t="s">
        <v>185</v>
      </c>
      <c r="C13" s="729" t="s">
        <v>354</v>
      </c>
      <c r="D13" s="496"/>
      <c r="E13" s="155">
        <f t="shared" si="2"/>
        <v>3684.05</v>
      </c>
      <c r="F13" s="155">
        <f t="shared" si="2"/>
        <v>1766.66</v>
      </c>
      <c r="G13" s="155">
        <f t="shared" si="2"/>
        <v>800</v>
      </c>
      <c r="H13" s="155">
        <f>SUM(H14:H15)</f>
        <v>4011</v>
      </c>
      <c r="I13" s="155">
        <f>SUM(I14:I15)</f>
        <v>1980</v>
      </c>
      <c r="J13" s="155">
        <f>SUM(J14:J15)</f>
        <v>2000</v>
      </c>
      <c r="K13" s="155">
        <f>SUM(K14:K15)</f>
        <v>2030</v>
      </c>
      <c r="L13" s="22"/>
    </row>
    <row r="14" spans="1:12" ht="48">
      <c r="A14" s="1258">
        <v>9</v>
      </c>
      <c r="B14" s="96"/>
      <c r="C14" s="731" t="s">
        <v>219</v>
      </c>
      <c r="D14" s="732" t="s">
        <v>620</v>
      </c>
      <c r="E14" s="148">
        <v>3684.05</v>
      </c>
      <c r="F14" s="148">
        <v>1766.66</v>
      </c>
      <c r="G14" s="148">
        <v>800</v>
      </c>
      <c r="H14" s="148">
        <v>1952</v>
      </c>
      <c r="I14" s="148">
        <v>1980</v>
      </c>
      <c r="J14" s="148">
        <v>2000</v>
      </c>
      <c r="K14" s="148">
        <v>2030</v>
      </c>
      <c r="L14" s="22"/>
    </row>
    <row r="15" spans="1:12" ht="36">
      <c r="A15" s="1258">
        <v>10</v>
      </c>
      <c r="B15" s="96"/>
      <c r="C15" s="474" t="s">
        <v>219</v>
      </c>
      <c r="D15" s="733" t="s">
        <v>621</v>
      </c>
      <c r="E15" s="148">
        <v>0</v>
      </c>
      <c r="F15" s="148">
        <v>0</v>
      </c>
      <c r="G15" s="148">
        <v>0</v>
      </c>
      <c r="H15" s="148">
        <v>2059</v>
      </c>
      <c r="I15" s="148">
        <v>0</v>
      </c>
      <c r="J15" s="148">
        <v>0</v>
      </c>
      <c r="K15" s="148">
        <v>0</v>
      </c>
      <c r="L15" s="22"/>
    </row>
    <row r="16" spans="1:12" ht="12.75">
      <c r="A16" s="1258">
        <v>11</v>
      </c>
      <c r="B16" s="91">
        <v>3</v>
      </c>
      <c r="C16" s="484" t="s">
        <v>78</v>
      </c>
      <c r="D16" s="485"/>
      <c r="E16" s="156">
        <f aca="true" t="shared" si="3" ref="E16:K17">E17</f>
        <v>2176</v>
      </c>
      <c r="F16" s="156">
        <f t="shared" si="3"/>
        <v>2348.3</v>
      </c>
      <c r="G16" s="156">
        <f t="shared" si="3"/>
        <v>2349</v>
      </c>
      <c r="H16" s="156">
        <f t="shared" si="3"/>
        <v>2353</v>
      </c>
      <c r="I16" s="156">
        <f t="shared" si="3"/>
        <v>2353</v>
      </c>
      <c r="J16" s="156">
        <f t="shared" si="3"/>
        <v>2353</v>
      </c>
      <c r="K16" s="156">
        <f t="shared" si="3"/>
        <v>2353</v>
      </c>
      <c r="L16" s="22"/>
    </row>
    <row r="17" spans="1:12" ht="12.75">
      <c r="A17" s="1258">
        <v>12</v>
      </c>
      <c r="B17" s="87" t="s">
        <v>79</v>
      </c>
      <c r="C17" s="729" t="s">
        <v>1</v>
      </c>
      <c r="D17" s="496"/>
      <c r="E17" s="155">
        <f t="shared" si="3"/>
        <v>2176</v>
      </c>
      <c r="F17" s="155">
        <f t="shared" si="3"/>
        <v>2348.3</v>
      </c>
      <c r="G17" s="155">
        <f t="shared" si="3"/>
        <v>2349</v>
      </c>
      <c r="H17" s="155">
        <f t="shared" si="3"/>
        <v>2353</v>
      </c>
      <c r="I17" s="155">
        <f t="shared" si="3"/>
        <v>2353</v>
      </c>
      <c r="J17" s="155">
        <f t="shared" si="3"/>
        <v>2353</v>
      </c>
      <c r="K17" s="155">
        <f t="shared" si="3"/>
        <v>2353</v>
      </c>
      <c r="L17" s="22"/>
    </row>
    <row r="18" spans="1:12" ht="13.5" thickBot="1">
      <c r="A18" s="1259">
        <v>13</v>
      </c>
      <c r="B18" s="94" t="s">
        <v>98</v>
      </c>
      <c r="C18" s="735" t="s">
        <v>218</v>
      </c>
      <c r="D18" s="736" t="s">
        <v>540</v>
      </c>
      <c r="E18" s="150">
        <v>2176</v>
      </c>
      <c r="F18" s="150">
        <v>2348.3</v>
      </c>
      <c r="G18" s="150">
        <v>2349</v>
      </c>
      <c r="H18" s="150">
        <v>2353</v>
      </c>
      <c r="I18" s="150">
        <v>2353</v>
      </c>
      <c r="J18" s="150">
        <v>2353</v>
      </c>
      <c r="K18" s="150">
        <v>2353</v>
      </c>
      <c r="L18" s="22"/>
    </row>
    <row r="19" ht="12.75">
      <c r="A19" s="3"/>
    </row>
    <row r="20" spans="1:12" s="35" customFormat="1" ht="11.25">
      <c r="A20" s="3"/>
      <c r="B20" s="29"/>
      <c r="D20" s="62"/>
      <c r="E20" s="308"/>
      <c r="F20" s="308"/>
      <c r="G20" s="290"/>
      <c r="I20" s="73"/>
      <c r="J20" s="73"/>
      <c r="K20" s="73"/>
      <c r="L20" s="73"/>
    </row>
    <row r="21" spans="1:4" s="35" customFormat="1" ht="11.25">
      <c r="A21" s="1260"/>
      <c r="B21" s="59"/>
      <c r="D21" s="290"/>
    </row>
    <row r="22" spans="1:3" s="35" customFormat="1" ht="11.25">
      <c r="A22" s="1260"/>
      <c r="C22" s="61"/>
    </row>
    <row r="23" spans="1:3" s="35" customFormat="1" ht="11.25">
      <c r="A23" s="1260"/>
      <c r="C23" s="61"/>
    </row>
    <row r="24" spans="1:3" s="35" customFormat="1" ht="11.25">
      <c r="A24" s="1260"/>
      <c r="B24" s="60"/>
      <c r="C24" s="61"/>
    </row>
    <row r="25" s="35" customFormat="1" ht="11.25">
      <c r="A25" s="1260"/>
    </row>
    <row r="29" ht="12.75">
      <c r="D29" s="46"/>
    </row>
  </sheetData>
  <sheetProtection/>
  <mergeCells count="7">
    <mergeCell ref="C12:D12"/>
    <mergeCell ref="A2:D2"/>
    <mergeCell ref="A4:A5"/>
    <mergeCell ref="B4:B5"/>
    <mergeCell ref="C4:C5"/>
    <mergeCell ref="D4:D5"/>
    <mergeCell ref="B6:D6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O83" sqref="O8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7.00390625" style="0" customWidth="1"/>
    <col min="4" max="4" width="27.28125" style="0" customWidth="1"/>
    <col min="5" max="6" width="10.57421875" style="0" bestFit="1" customWidth="1"/>
    <col min="7" max="9" width="11.8515625" style="0" bestFit="1" customWidth="1"/>
    <col min="10" max="11" width="9.421875" style="0" bestFit="1" customWidth="1"/>
    <col min="12" max="12" width="8.8515625" style="28" customWidth="1"/>
    <col min="13" max="13" width="9.140625" style="121" customWidth="1"/>
    <col min="15" max="15" width="9.140625" style="338" customWidth="1"/>
    <col min="16" max="16" width="10.140625" style="170" bestFit="1" customWidth="1"/>
    <col min="17" max="17" width="10.140625" style="0" bestFit="1" customWidth="1"/>
  </cols>
  <sheetData>
    <row r="1" spans="1:2" ht="15" thickBot="1">
      <c r="A1" s="15"/>
      <c r="B1" s="85" t="s">
        <v>221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54"/>
      <c r="B3" s="55"/>
      <c r="C3" s="56"/>
      <c r="D3" s="57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ht="14.25" thickBot="1" thickTop="1">
      <c r="A6" s="456">
        <v>1</v>
      </c>
      <c r="B6" s="459" t="s">
        <v>102</v>
      </c>
      <c r="C6" s="460"/>
      <c r="D6" s="477"/>
      <c r="E6" s="154">
        <f aca="true" t="shared" si="0" ref="E6:K6">E7+E10+E14+E17+E28+E32+E42</f>
        <v>55397.509999999995</v>
      </c>
      <c r="F6" s="154">
        <f t="shared" si="0"/>
        <v>53251.680000000015</v>
      </c>
      <c r="G6" s="154">
        <f t="shared" si="0"/>
        <v>25900</v>
      </c>
      <c r="H6" s="154">
        <f t="shared" si="0"/>
        <v>27236.33</v>
      </c>
      <c r="I6" s="154">
        <f t="shared" si="0"/>
        <v>27870</v>
      </c>
      <c r="J6" s="154">
        <f t="shared" si="0"/>
        <v>24970</v>
      </c>
      <c r="K6" s="154">
        <f t="shared" si="0"/>
        <v>24970</v>
      </c>
    </row>
    <row r="7" spans="1:11" ht="13.5" thickTop="1">
      <c r="A7" s="462">
        <v>2</v>
      </c>
      <c r="B7" s="457">
        <v>1</v>
      </c>
      <c r="C7" s="478" t="s">
        <v>353</v>
      </c>
      <c r="D7" s="458"/>
      <c r="E7" s="109">
        <f aca="true" t="shared" si="1" ref="E7:K8">E8</f>
        <v>0</v>
      </c>
      <c r="F7" s="109">
        <f t="shared" si="1"/>
        <v>750</v>
      </c>
      <c r="G7" s="109">
        <f t="shared" si="1"/>
        <v>3000</v>
      </c>
      <c r="H7" s="109">
        <f t="shared" si="1"/>
        <v>2800</v>
      </c>
      <c r="I7" s="109">
        <f t="shared" si="1"/>
        <v>2500</v>
      </c>
      <c r="J7" s="109">
        <f t="shared" si="1"/>
        <v>2500</v>
      </c>
      <c r="K7" s="109">
        <f t="shared" si="1"/>
        <v>2500</v>
      </c>
    </row>
    <row r="8" spans="1:11" ht="12.75">
      <c r="A8" s="462">
        <v>3</v>
      </c>
      <c r="B8" s="479" t="s">
        <v>185</v>
      </c>
      <c r="C8" s="480" t="s">
        <v>354</v>
      </c>
      <c r="D8" s="481"/>
      <c r="E8" s="155">
        <f>E9</f>
        <v>0</v>
      </c>
      <c r="F8" s="155">
        <f>F9</f>
        <v>750</v>
      </c>
      <c r="G8" s="155">
        <f t="shared" si="1"/>
        <v>3000</v>
      </c>
      <c r="H8" s="155">
        <f t="shared" si="1"/>
        <v>2800</v>
      </c>
      <c r="I8" s="155">
        <f t="shared" si="1"/>
        <v>2500</v>
      </c>
      <c r="J8" s="155">
        <f t="shared" si="1"/>
        <v>2500</v>
      </c>
      <c r="K8" s="155">
        <f t="shared" si="1"/>
        <v>2500</v>
      </c>
    </row>
    <row r="9" spans="1:11" ht="24">
      <c r="A9" s="470">
        <v>4</v>
      </c>
      <c r="B9" s="471"/>
      <c r="C9" s="474" t="s">
        <v>218</v>
      </c>
      <c r="D9" s="482" t="s">
        <v>460</v>
      </c>
      <c r="E9" s="148">
        <v>0</v>
      </c>
      <c r="F9" s="148">
        <v>750</v>
      </c>
      <c r="G9" s="148">
        <v>3000</v>
      </c>
      <c r="H9" s="148">
        <v>2800</v>
      </c>
      <c r="I9" s="148">
        <f>(180*12)+340</f>
        <v>2500</v>
      </c>
      <c r="J9" s="148">
        <f>(180*12)+340</f>
        <v>2500</v>
      </c>
      <c r="K9" s="148">
        <f>(180*12)+340</f>
        <v>2500</v>
      </c>
    </row>
    <row r="10" spans="1:11" ht="12.75">
      <c r="A10" s="462">
        <v>5</v>
      </c>
      <c r="B10" s="483">
        <v>2</v>
      </c>
      <c r="C10" s="484" t="s">
        <v>80</v>
      </c>
      <c r="D10" s="485"/>
      <c r="E10" s="156">
        <f aca="true" t="shared" si="2" ref="E10:K10">E11</f>
        <v>27480.09</v>
      </c>
      <c r="F10" s="156">
        <f t="shared" si="2"/>
        <v>26485.280000000002</v>
      </c>
      <c r="G10" s="156">
        <f t="shared" si="2"/>
        <v>2250</v>
      </c>
      <c r="H10" s="156">
        <f t="shared" si="2"/>
        <v>2250</v>
      </c>
      <c r="I10" s="156">
        <f t="shared" si="2"/>
        <v>2250</v>
      </c>
      <c r="J10" s="156">
        <f t="shared" si="2"/>
        <v>2250</v>
      </c>
      <c r="K10" s="156">
        <f t="shared" si="2"/>
        <v>2250</v>
      </c>
    </row>
    <row r="11" spans="1:11" ht="12.75">
      <c r="A11" s="462">
        <v>6</v>
      </c>
      <c r="B11" s="486" t="s">
        <v>185</v>
      </c>
      <c r="C11" s="480" t="s">
        <v>354</v>
      </c>
      <c r="D11" s="481"/>
      <c r="E11" s="155">
        <f>E12+E13</f>
        <v>27480.09</v>
      </c>
      <c r="F11" s="155">
        <f aca="true" t="shared" si="3" ref="F11:K11">F12+F13</f>
        <v>26485.280000000002</v>
      </c>
      <c r="G11" s="155">
        <f>G12+G13</f>
        <v>2250</v>
      </c>
      <c r="H11" s="155">
        <f t="shared" si="3"/>
        <v>2250</v>
      </c>
      <c r="I11" s="155">
        <f t="shared" si="3"/>
        <v>2250</v>
      </c>
      <c r="J11" s="155">
        <f t="shared" si="3"/>
        <v>2250</v>
      </c>
      <c r="K11" s="155">
        <f t="shared" si="3"/>
        <v>2250</v>
      </c>
    </row>
    <row r="12" spans="1:11" ht="12.75">
      <c r="A12" s="462">
        <v>7</v>
      </c>
      <c r="B12" s="487"/>
      <c r="C12" s="488" t="s">
        <v>462</v>
      </c>
      <c r="D12" s="489" t="s">
        <v>203</v>
      </c>
      <c r="E12" s="148">
        <v>2257.68</v>
      </c>
      <c r="F12" s="148">
        <v>2130.06</v>
      </c>
      <c r="G12" s="148">
        <v>2250</v>
      </c>
      <c r="H12" s="148">
        <f>1818+432</f>
        <v>2250</v>
      </c>
      <c r="I12" s="148">
        <v>2250</v>
      </c>
      <c r="J12" s="148">
        <v>2250</v>
      </c>
      <c r="K12" s="148">
        <v>2250</v>
      </c>
    </row>
    <row r="13" spans="1:13" ht="12.75">
      <c r="A13" s="462">
        <v>8</v>
      </c>
      <c r="B13" s="490"/>
      <c r="C13" s="488" t="s">
        <v>462</v>
      </c>
      <c r="D13" s="491" t="s">
        <v>461</v>
      </c>
      <c r="E13" s="147">
        <v>25222.41</v>
      </c>
      <c r="F13" s="147">
        <v>24355.22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334"/>
      <c r="M13" s="178"/>
    </row>
    <row r="14" spans="1:11" ht="12.75">
      <c r="A14" s="462">
        <v>9</v>
      </c>
      <c r="B14" s="483">
        <v>3</v>
      </c>
      <c r="C14" s="492" t="s">
        <v>81</v>
      </c>
      <c r="D14" s="493"/>
      <c r="E14" s="157">
        <f aca="true" t="shared" si="4" ref="E14:K15">E15</f>
        <v>3403.54</v>
      </c>
      <c r="F14" s="157">
        <f t="shared" si="4"/>
        <v>2704.52</v>
      </c>
      <c r="G14" s="157">
        <f t="shared" si="4"/>
        <v>3200</v>
      </c>
      <c r="H14" s="157">
        <f t="shared" si="4"/>
        <v>3200</v>
      </c>
      <c r="I14" s="157">
        <f t="shared" si="4"/>
        <v>4750</v>
      </c>
      <c r="J14" s="157">
        <f t="shared" si="4"/>
        <v>4750</v>
      </c>
      <c r="K14" s="157">
        <f t="shared" si="4"/>
        <v>4750</v>
      </c>
    </row>
    <row r="15" spans="1:11" ht="12.75">
      <c r="A15" s="462">
        <v>10</v>
      </c>
      <c r="B15" s="494" t="s">
        <v>185</v>
      </c>
      <c r="C15" s="495" t="s">
        <v>354</v>
      </c>
      <c r="D15" s="496"/>
      <c r="E15" s="158">
        <f>E16</f>
        <v>3403.54</v>
      </c>
      <c r="F15" s="158">
        <f>F16</f>
        <v>2704.52</v>
      </c>
      <c r="G15" s="158">
        <f>G16</f>
        <v>3200</v>
      </c>
      <c r="H15" s="158">
        <f t="shared" si="4"/>
        <v>3200</v>
      </c>
      <c r="I15" s="158">
        <f t="shared" si="4"/>
        <v>4750</v>
      </c>
      <c r="J15" s="158">
        <f t="shared" si="4"/>
        <v>4750</v>
      </c>
      <c r="K15" s="158">
        <f t="shared" si="4"/>
        <v>4750</v>
      </c>
    </row>
    <row r="16" spans="1:12" ht="36">
      <c r="A16" s="462">
        <v>11</v>
      </c>
      <c r="B16" s="471"/>
      <c r="C16" s="467" t="s">
        <v>218</v>
      </c>
      <c r="D16" s="497" t="s">
        <v>662</v>
      </c>
      <c r="E16" s="147">
        <v>3403.54</v>
      </c>
      <c r="F16" s="147">
        <v>2704.52</v>
      </c>
      <c r="G16" s="147">
        <v>3200</v>
      </c>
      <c r="H16" s="147">
        <v>3200</v>
      </c>
      <c r="I16" s="147">
        <v>4750</v>
      </c>
      <c r="J16" s="147">
        <v>4750</v>
      </c>
      <c r="K16" s="147">
        <v>4750</v>
      </c>
      <c r="L16" s="165"/>
    </row>
    <row r="17" spans="1:11" ht="12.75">
      <c r="A17" s="462">
        <v>12</v>
      </c>
      <c r="B17" s="483">
        <v>4</v>
      </c>
      <c r="C17" s="484" t="s">
        <v>74</v>
      </c>
      <c r="D17" s="485"/>
      <c r="E17" s="109">
        <f aca="true" t="shared" si="5" ref="E17:K17">E18+E22</f>
        <v>11643.96</v>
      </c>
      <c r="F17" s="109">
        <f t="shared" si="5"/>
        <v>10658.130000000001</v>
      </c>
      <c r="G17" s="109">
        <f t="shared" si="5"/>
        <v>7370</v>
      </c>
      <c r="H17" s="109">
        <f t="shared" si="5"/>
        <v>6170</v>
      </c>
      <c r="I17" s="109">
        <f t="shared" si="5"/>
        <v>6670</v>
      </c>
      <c r="J17" s="109">
        <f t="shared" si="5"/>
        <v>4670</v>
      </c>
      <c r="K17" s="109">
        <f t="shared" si="5"/>
        <v>4670</v>
      </c>
    </row>
    <row r="18" spans="1:11" ht="12.75">
      <c r="A18" s="462">
        <v>13</v>
      </c>
      <c r="B18" s="479" t="s">
        <v>185</v>
      </c>
      <c r="C18" s="498" t="s">
        <v>354</v>
      </c>
      <c r="D18" s="496"/>
      <c r="E18" s="155">
        <f aca="true" t="shared" si="6" ref="E18:K18">SUM(E19:E21)</f>
        <v>1465.4099999999999</v>
      </c>
      <c r="F18" s="155">
        <f t="shared" si="6"/>
        <v>2301.68</v>
      </c>
      <c r="G18" s="155">
        <f t="shared" si="6"/>
        <v>3300</v>
      </c>
      <c r="H18" s="155">
        <f t="shared" si="6"/>
        <v>1800</v>
      </c>
      <c r="I18" s="155">
        <f t="shared" si="6"/>
        <v>2800</v>
      </c>
      <c r="J18" s="155">
        <f t="shared" si="6"/>
        <v>800</v>
      </c>
      <c r="K18" s="155">
        <f t="shared" si="6"/>
        <v>800</v>
      </c>
    </row>
    <row r="19" spans="1:11" ht="24">
      <c r="A19" s="462">
        <v>14</v>
      </c>
      <c r="B19" s="471"/>
      <c r="C19" s="474" t="s">
        <v>218</v>
      </c>
      <c r="D19" s="499" t="s">
        <v>589</v>
      </c>
      <c r="E19" s="148">
        <v>500</v>
      </c>
      <c r="F19" s="148">
        <v>522.9</v>
      </c>
      <c r="G19" s="148">
        <v>500</v>
      </c>
      <c r="H19" s="148">
        <v>500</v>
      </c>
      <c r="I19" s="148">
        <v>500</v>
      </c>
      <c r="J19" s="148">
        <v>500</v>
      </c>
      <c r="K19" s="148">
        <v>500</v>
      </c>
    </row>
    <row r="20" spans="1:11" ht="36">
      <c r="A20" s="462">
        <v>15</v>
      </c>
      <c r="B20" s="471"/>
      <c r="C20" s="467" t="s">
        <v>218</v>
      </c>
      <c r="D20" s="499" t="s">
        <v>752</v>
      </c>
      <c r="E20" s="147">
        <v>0</v>
      </c>
      <c r="F20" s="147">
        <v>1016.95</v>
      </c>
      <c r="G20" s="147">
        <v>2000</v>
      </c>
      <c r="H20" s="147">
        <v>1000</v>
      </c>
      <c r="I20" s="147">
        <v>2000</v>
      </c>
      <c r="J20" s="147">
        <v>0</v>
      </c>
      <c r="K20" s="147">
        <v>0</v>
      </c>
    </row>
    <row r="21" spans="1:11" ht="24">
      <c r="A21" s="462">
        <v>16</v>
      </c>
      <c r="B21" s="471"/>
      <c r="C21" s="467" t="s">
        <v>218</v>
      </c>
      <c r="D21" s="499" t="s">
        <v>463</v>
      </c>
      <c r="E21" s="147">
        <v>965.41</v>
      </c>
      <c r="F21" s="147">
        <v>761.83</v>
      </c>
      <c r="G21" s="147">
        <v>800</v>
      </c>
      <c r="H21" s="147">
        <v>300</v>
      </c>
      <c r="I21" s="147">
        <v>300</v>
      </c>
      <c r="J21" s="147">
        <v>300</v>
      </c>
      <c r="K21" s="147">
        <v>300</v>
      </c>
    </row>
    <row r="22" spans="1:11" ht="12.75">
      <c r="A22" s="462">
        <v>17</v>
      </c>
      <c r="B22" s="463" t="s">
        <v>186</v>
      </c>
      <c r="C22" s="464" t="s">
        <v>131</v>
      </c>
      <c r="D22" s="465"/>
      <c r="E22" s="159">
        <f>SUM(E23:E27)</f>
        <v>10178.55</v>
      </c>
      <c r="F22" s="159">
        <f aca="true" t="shared" si="7" ref="F22:K22">SUM(F23:F27)</f>
        <v>8356.45</v>
      </c>
      <c r="G22" s="159">
        <f t="shared" si="7"/>
        <v>4070</v>
      </c>
      <c r="H22" s="159">
        <f t="shared" si="7"/>
        <v>4370</v>
      </c>
      <c r="I22" s="159">
        <f t="shared" si="7"/>
        <v>3870</v>
      </c>
      <c r="J22" s="159">
        <f t="shared" si="7"/>
        <v>3870</v>
      </c>
      <c r="K22" s="159">
        <f t="shared" si="7"/>
        <v>3870</v>
      </c>
    </row>
    <row r="23" spans="1:14" ht="48">
      <c r="A23" s="462">
        <v>18</v>
      </c>
      <c r="B23" s="471"/>
      <c r="C23" s="474" t="s">
        <v>218</v>
      </c>
      <c r="D23" s="500" t="s">
        <v>602</v>
      </c>
      <c r="E23" s="147">
        <v>2471.08</v>
      </c>
      <c r="F23" s="147">
        <v>5148.55</v>
      </c>
      <c r="G23" s="147">
        <v>3000</v>
      </c>
      <c r="H23" s="147">
        <v>3500</v>
      </c>
      <c r="I23" s="147">
        <v>3000</v>
      </c>
      <c r="J23" s="147">
        <v>3000</v>
      </c>
      <c r="K23" s="147">
        <v>3000</v>
      </c>
      <c r="N23" s="790"/>
    </row>
    <row r="24" spans="1:14" ht="24">
      <c r="A24" s="462">
        <v>19</v>
      </c>
      <c r="B24" s="471"/>
      <c r="C24" s="472" t="s">
        <v>218</v>
      </c>
      <c r="D24" s="500" t="s">
        <v>347</v>
      </c>
      <c r="E24" s="147">
        <v>7667.47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N24" s="790"/>
    </row>
    <row r="25" spans="1:14" ht="24">
      <c r="A25" s="462">
        <v>20</v>
      </c>
      <c r="B25" s="471"/>
      <c r="C25" s="472" t="s">
        <v>218</v>
      </c>
      <c r="D25" s="499" t="s">
        <v>440</v>
      </c>
      <c r="E25" s="147">
        <v>0</v>
      </c>
      <c r="F25" s="147">
        <v>2771.9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N25" s="790"/>
    </row>
    <row r="26" spans="1:11" ht="12.75">
      <c r="A26" s="462">
        <v>21</v>
      </c>
      <c r="B26" s="471"/>
      <c r="C26" s="472" t="s">
        <v>218</v>
      </c>
      <c r="D26" s="500" t="s">
        <v>182</v>
      </c>
      <c r="E26" s="148">
        <v>0</v>
      </c>
      <c r="F26" s="148">
        <v>396</v>
      </c>
      <c r="G26" s="148">
        <v>1000</v>
      </c>
      <c r="H26" s="148">
        <v>800</v>
      </c>
      <c r="I26" s="148">
        <v>800</v>
      </c>
      <c r="J26" s="148">
        <v>800</v>
      </c>
      <c r="K26" s="148">
        <v>800</v>
      </c>
    </row>
    <row r="27" spans="1:11" ht="24">
      <c r="A27" s="462">
        <v>22</v>
      </c>
      <c r="B27" s="473"/>
      <c r="C27" s="472" t="s">
        <v>218</v>
      </c>
      <c r="D27" s="499" t="s">
        <v>494</v>
      </c>
      <c r="E27" s="148">
        <v>40</v>
      </c>
      <c r="F27" s="148">
        <v>40</v>
      </c>
      <c r="G27" s="148">
        <v>70</v>
      </c>
      <c r="H27" s="148">
        <v>70</v>
      </c>
      <c r="I27" s="148">
        <v>70</v>
      </c>
      <c r="J27" s="148">
        <v>70</v>
      </c>
      <c r="K27" s="148">
        <v>70</v>
      </c>
    </row>
    <row r="28" spans="1:11" ht="12.75">
      <c r="A28" s="462">
        <v>23</v>
      </c>
      <c r="B28" s="457">
        <v>5</v>
      </c>
      <c r="C28" s="478" t="s">
        <v>82</v>
      </c>
      <c r="D28" s="458"/>
      <c r="E28" s="157">
        <f aca="true" t="shared" si="8" ref="E28:K28">E29</f>
        <v>460.24</v>
      </c>
      <c r="F28" s="157">
        <f t="shared" si="8"/>
        <v>758.16</v>
      </c>
      <c r="G28" s="157">
        <f t="shared" si="8"/>
        <v>1100</v>
      </c>
      <c r="H28" s="157">
        <f t="shared" si="8"/>
        <v>1720</v>
      </c>
      <c r="I28" s="157">
        <f t="shared" si="8"/>
        <v>1650</v>
      </c>
      <c r="J28" s="157">
        <f t="shared" si="8"/>
        <v>1450</v>
      </c>
      <c r="K28" s="157">
        <f t="shared" si="8"/>
        <v>1450</v>
      </c>
    </row>
    <row r="29" spans="1:11" ht="12.75">
      <c r="A29" s="462">
        <v>24</v>
      </c>
      <c r="B29" s="479" t="s">
        <v>185</v>
      </c>
      <c r="C29" s="498" t="s">
        <v>354</v>
      </c>
      <c r="D29" s="496"/>
      <c r="E29" s="155">
        <f>E30+E31</f>
        <v>460.24</v>
      </c>
      <c r="F29" s="155">
        <f aca="true" t="shared" si="9" ref="F29:K29">F30+F31</f>
        <v>758.16</v>
      </c>
      <c r="G29" s="155">
        <f>G30+G31</f>
        <v>1100</v>
      </c>
      <c r="H29" s="155">
        <f t="shared" si="9"/>
        <v>1720</v>
      </c>
      <c r="I29" s="155">
        <f t="shared" si="9"/>
        <v>1650</v>
      </c>
      <c r="J29" s="155">
        <f t="shared" si="9"/>
        <v>1450</v>
      </c>
      <c r="K29" s="155">
        <f t="shared" si="9"/>
        <v>1450</v>
      </c>
    </row>
    <row r="30" spans="1:11" ht="12.75">
      <c r="A30" s="462">
        <v>25</v>
      </c>
      <c r="B30" s="471"/>
      <c r="C30" s="501" t="s">
        <v>218</v>
      </c>
      <c r="D30" s="502" t="s">
        <v>122</v>
      </c>
      <c r="E30" s="148">
        <v>430</v>
      </c>
      <c r="F30" s="148">
        <v>697</v>
      </c>
      <c r="G30" s="148">
        <v>900</v>
      </c>
      <c r="H30" s="148">
        <v>1600</v>
      </c>
      <c r="I30" s="148">
        <v>1500</v>
      </c>
      <c r="J30" s="148">
        <v>1300</v>
      </c>
      <c r="K30" s="148">
        <v>1300</v>
      </c>
    </row>
    <row r="31" spans="1:11" ht="12.75">
      <c r="A31" s="462">
        <v>26</v>
      </c>
      <c r="B31" s="471"/>
      <c r="C31" s="467" t="s">
        <v>218</v>
      </c>
      <c r="D31" s="491" t="s">
        <v>100</v>
      </c>
      <c r="E31" s="147">
        <v>30.24</v>
      </c>
      <c r="F31" s="147">
        <v>61.16</v>
      </c>
      <c r="G31" s="147">
        <v>200</v>
      </c>
      <c r="H31" s="147">
        <v>120</v>
      </c>
      <c r="I31" s="147">
        <v>150</v>
      </c>
      <c r="J31" s="147">
        <v>150</v>
      </c>
      <c r="K31" s="147">
        <v>150</v>
      </c>
    </row>
    <row r="32" spans="1:11" ht="12.75">
      <c r="A32" s="462">
        <v>27</v>
      </c>
      <c r="B32" s="483">
        <v>6</v>
      </c>
      <c r="C32" s="484" t="s">
        <v>83</v>
      </c>
      <c r="D32" s="485"/>
      <c r="E32" s="160">
        <f aca="true" t="shared" si="10" ref="E32:K32">E33</f>
        <v>8909.85</v>
      </c>
      <c r="F32" s="160">
        <f t="shared" si="10"/>
        <v>5216.4800000000005</v>
      </c>
      <c r="G32" s="160">
        <f t="shared" si="10"/>
        <v>6230</v>
      </c>
      <c r="H32" s="160">
        <f t="shared" si="10"/>
        <v>8076.33</v>
      </c>
      <c r="I32" s="160">
        <f t="shared" si="10"/>
        <v>8300</v>
      </c>
      <c r="J32" s="160">
        <f t="shared" si="10"/>
        <v>7600</v>
      </c>
      <c r="K32" s="160">
        <f t="shared" si="10"/>
        <v>7800</v>
      </c>
    </row>
    <row r="33" spans="1:11" ht="12.75">
      <c r="A33" s="462">
        <v>28</v>
      </c>
      <c r="B33" s="479" t="s">
        <v>185</v>
      </c>
      <c r="C33" s="495" t="s">
        <v>354</v>
      </c>
      <c r="D33" s="496"/>
      <c r="E33" s="158">
        <f aca="true" t="shared" si="11" ref="E33:K33">SUM(E34:E41)</f>
        <v>8909.85</v>
      </c>
      <c r="F33" s="158">
        <f t="shared" si="11"/>
        <v>5216.4800000000005</v>
      </c>
      <c r="G33" s="158">
        <f t="shared" si="11"/>
        <v>6230</v>
      </c>
      <c r="H33" s="158">
        <f t="shared" si="11"/>
        <v>8076.33</v>
      </c>
      <c r="I33" s="158">
        <f t="shared" si="11"/>
        <v>8300</v>
      </c>
      <c r="J33" s="158">
        <f t="shared" si="11"/>
        <v>7600</v>
      </c>
      <c r="K33" s="158">
        <f t="shared" si="11"/>
        <v>7800</v>
      </c>
    </row>
    <row r="34" spans="1:11" ht="12.75">
      <c r="A34" s="462">
        <v>29</v>
      </c>
      <c r="B34" s="471"/>
      <c r="C34" s="467" t="s">
        <v>218</v>
      </c>
      <c r="D34" s="491" t="s">
        <v>604</v>
      </c>
      <c r="E34" s="147">
        <v>839.73</v>
      </c>
      <c r="F34" s="147">
        <v>1128</v>
      </c>
      <c r="G34" s="147">
        <v>1200</v>
      </c>
      <c r="H34" s="147">
        <v>600</v>
      </c>
      <c r="I34" s="147">
        <v>600</v>
      </c>
      <c r="J34" s="147">
        <v>600</v>
      </c>
      <c r="K34" s="147">
        <v>600</v>
      </c>
    </row>
    <row r="35" spans="1:11" ht="13.5" customHeight="1">
      <c r="A35" s="462">
        <v>30</v>
      </c>
      <c r="B35" s="471"/>
      <c r="C35" s="467" t="s">
        <v>218</v>
      </c>
      <c r="D35" s="499" t="s">
        <v>184</v>
      </c>
      <c r="E35" s="147">
        <v>1614</v>
      </c>
      <c r="F35" s="147">
        <v>836.38</v>
      </c>
      <c r="G35" s="147">
        <v>1500</v>
      </c>
      <c r="H35" s="147">
        <v>1200</v>
      </c>
      <c r="I35" s="147">
        <v>500</v>
      </c>
      <c r="J35" s="147">
        <v>500</v>
      </c>
      <c r="K35" s="147">
        <v>500</v>
      </c>
    </row>
    <row r="36" spans="1:11" ht="24">
      <c r="A36" s="462">
        <v>31</v>
      </c>
      <c r="B36" s="471"/>
      <c r="C36" s="467" t="s">
        <v>218</v>
      </c>
      <c r="D36" s="737" t="s">
        <v>338</v>
      </c>
      <c r="E36" s="147">
        <v>1246.56</v>
      </c>
      <c r="F36" s="147">
        <v>2614.92</v>
      </c>
      <c r="G36" s="147">
        <v>3000</v>
      </c>
      <c r="H36" s="147">
        <v>3000</v>
      </c>
      <c r="I36" s="147">
        <v>3000</v>
      </c>
      <c r="J36" s="147">
        <v>3000</v>
      </c>
      <c r="K36" s="147">
        <v>3000</v>
      </c>
    </row>
    <row r="37" spans="1:11" ht="12.75">
      <c r="A37" s="462">
        <v>32</v>
      </c>
      <c r="B37" s="471"/>
      <c r="C37" s="474" t="s">
        <v>218</v>
      </c>
      <c r="D37" s="503" t="s">
        <v>339</v>
      </c>
      <c r="E37" s="148">
        <v>4680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</row>
    <row r="38" spans="1:11" ht="24">
      <c r="A38" s="462">
        <v>33</v>
      </c>
      <c r="B38" s="471"/>
      <c r="C38" s="474" t="s">
        <v>218</v>
      </c>
      <c r="D38" s="500" t="s">
        <v>652</v>
      </c>
      <c r="E38" s="148">
        <v>0</v>
      </c>
      <c r="F38" s="148">
        <v>0</v>
      </c>
      <c r="G38" s="148">
        <v>0</v>
      </c>
      <c r="H38" s="148">
        <v>0</v>
      </c>
      <c r="I38" s="148">
        <v>1000</v>
      </c>
      <c r="J38" s="148">
        <v>0</v>
      </c>
      <c r="K38" s="148">
        <v>0</v>
      </c>
    </row>
    <row r="39" spans="1:11" ht="24">
      <c r="A39" s="462">
        <v>34</v>
      </c>
      <c r="B39" s="471"/>
      <c r="C39" s="474" t="s">
        <v>218</v>
      </c>
      <c r="D39" s="500" t="s">
        <v>603</v>
      </c>
      <c r="E39" s="148">
        <v>0</v>
      </c>
      <c r="F39" s="148">
        <v>0</v>
      </c>
      <c r="G39" s="148">
        <v>0</v>
      </c>
      <c r="H39" s="148">
        <v>358.33</v>
      </c>
      <c r="I39" s="148">
        <v>2200</v>
      </c>
      <c r="J39" s="148">
        <v>2300</v>
      </c>
      <c r="K39" s="148">
        <v>2400</v>
      </c>
    </row>
    <row r="40" spans="1:11" ht="12.75">
      <c r="A40" s="462">
        <v>35</v>
      </c>
      <c r="B40" s="471"/>
      <c r="C40" s="474" t="s">
        <v>218</v>
      </c>
      <c r="D40" s="503" t="s">
        <v>552</v>
      </c>
      <c r="E40" s="148">
        <v>0</v>
      </c>
      <c r="F40" s="148">
        <v>0</v>
      </c>
      <c r="G40" s="148">
        <v>0</v>
      </c>
      <c r="H40" s="148">
        <v>1958</v>
      </c>
      <c r="I40" s="148">
        <v>0</v>
      </c>
      <c r="J40" s="148">
        <v>0</v>
      </c>
      <c r="K40" s="148">
        <v>0</v>
      </c>
    </row>
    <row r="41" spans="1:11" ht="36">
      <c r="A41" s="462">
        <v>36</v>
      </c>
      <c r="B41" s="471"/>
      <c r="C41" s="474" t="s">
        <v>218</v>
      </c>
      <c r="D41" s="500" t="s">
        <v>663</v>
      </c>
      <c r="E41" s="148">
        <v>529.56</v>
      </c>
      <c r="F41" s="148">
        <v>637.18</v>
      </c>
      <c r="G41" s="148">
        <v>530</v>
      </c>
      <c r="H41" s="148">
        <v>960</v>
      </c>
      <c r="I41" s="148">
        <v>1000</v>
      </c>
      <c r="J41" s="148">
        <v>1200</v>
      </c>
      <c r="K41" s="148">
        <v>1300</v>
      </c>
    </row>
    <row r="42" spans="1:11" ht="12.75">
      <c r="A42" s="462">
        <v>37</v>
      </c>
      <c r="B42" s="483">
        <v>7</v>
      </c>
      <c r="C42" s="484" t="s">
        <v>66</v>
      </c>
      <c r="D42" s="485"/>
      <c r="E42" s="160">
        <f aca="true" t="shared" si="12" ref="E42:K42">E43</f>
        <v>3499.83</v>
      </c>
      <c r="F42" s="160">
        <f t="shared" si="12"/>
        <v>6679.11</v>
      </c>
      <c r="G42" s="160">
        <f t="shared" si="12"/>
        <v>2750</v>
      </c>
      <c r="H42" s="160">
        <f t="shared" si="12"/>
        <v>3020</v>
      </c>
      <c r="I42" s="160">
        <f t="shared" si="12"/>
        <v>1750</v>
      </c>
      <c r="J42" s="160">
        <f t="shared" si="12"/>
        <v>1750</v>
      </c>
      <c r="K42" s="160">
        <f t="shared" si="12"/>
        <v>1550</v>
      </c>
    </row>
    <row r="43" spans="1:11" ht="12.75">
      <c r="A43" s="462">
        <v>38</v>
      </c>
      <c r="B43" s="486" t="s">
        <v>185</v>
      </c>
      <c r="C43" s="495" t="s">
        <v>354</v>
      </c>
      <c r="D43" s="496"/>
      <c r="E43" s="158">
        <f>E44+E45+E46+E47+E48</f>
        <v>3499.83</v>
      </c>
      <c r="F43" s="158">
        <f>F44+F45+F46+F47+F48</f>
        <v>6679.11</v>
      </c>
      <c r="G43" s="158">
        <f>G44+G45+G46+G47+G48</f>
        <v>2750</v>
      </c>
      <c r="H43" s="158">
        <f>SUM(H44:H48)</f>
        <v>3020</v>
      </c>
      <c r="I43" s="158">
        <f>SUM(I44:I48)</f>
        <v>1750</v>
      </c>
      <c r="J43" s="158">
        <f>SUM(J44:J48)</f>
        <v>1750</v>
      </c>
      <c r="K43" s="158">
        <f>SUM(K44:K48)</f>
        <v>1550</v>
      </c>
    </row>
    <row r="44" spans="1:11" ht="12.75">
      <c r="A44" s="462">
        <v>39</v>
      </c>
      <c r="B44" s="504"/>
      <c r="C44" s="474" t="s">
        <v>218</v>
      </c>
      <c r="D44" s="489" t="s">
        <v>264</v>
      </c>
      <c r="E44" s="148">
        <v>1574.43</v>
      </c>
      <c r="F44" s="148">
        <v>1904.03</v>
      </c>
      <c r="G44" s="148">
        <v>500</v>
      </c>
      <c r="H44" s="148">
        <v>400</v>
      </c>
      <c r="I44" s="148">
        <v>0</v>
      </c>
      <c r="J44" s="148">
        <v>0</v>
      </c>
      <c r="K44" s="148">
        <v>0</v>
      </c>
    </row>
    <row r="45" spans="1:11" ht="12.75">
      <c r="A45" s="462">
        <v>40</v>
      </c>
      <c r="B45" s="504"/>
      <c r="C45" s="474" t="s">
        <v>218</v>
      </c>
      <c r="D45" s="489" t="s">
        <v>265</v>
      </c>
      <c r="E45" s="148">
        <v>340</v>
      </c>
      <c r="F45" s="148">
        <v>780.92</v>
      </c>
      <c r="G45" s="148">
        <v>800</v>
      </c>
      <c r="H45" s="148">
        <v>700</v>
      </c>
      <c r="I45" s="148">
        <v>700</v>
      </c>
      <c r="J45" s="148">
        <v>700</v>
      </c>
      <c r="K45" s="148">
        <v>700</v>
      </c>
    </row>
    <row r="46" spans="1:11" ht="12.75">
      <c r="A46" s="462">
        <v>41</v>
      </c>
      <c r="B46" s="504"/>
      <c r="C46" s="474" t="s">
        <v>218</v>
      </c>
      <c r="D46" s="505" t="s">
        <v>367</v>
      </c>
      <c r="E46" s="148">
        <v>1286.84</v>
      </c>
      <c r="F46" s="148">
        <v>3474.52</v>
      </c>
      <c r="G46" s="148">
        <v>800</v>
      </c>
      <c r="H46" s="148">
        <v>1600</v>
      </c>
      <c r="I46" s="148">
        <v>1000</v>
      </c>
      <c r="J46" s="148">
        <v>1000</v>
      </c>
      <c r="K46" s="148">
        <v>800</v>
      </c>
    </row>
    <row r="47" spans="1:11" ht="12.75">
      <c r="A47" s="462">
        <v>42</v>
      </c>
      <c r="B47" s="504"/>
      <c r="C47" s="474" t="s">
        <v>218</v>
      </c>
      <c r="D47" s="505" t="s">
        <v>123</v>
      </c>
      <c r="E47" s="161">
        <v>50</v>
      </c>
      <c r="F47" s="161">
        <v>50</v>
      </c>
      <c r="G47" s="161">
        <v>50</v>
      </c>
      <c r="H47" s="161">
        <v>20</v>
      </c>
      <c r="I47" s="161">
        <v>50</v>
      </c>
      <c r="J47" s="161">
        <v>50</v>
      </c>
      <c r="K47" s="161">
        <v>50</v>
      </c>
    </row>
    <row r="48" spans="1:13" ht="13.5" thickBot="1">
      <c r="A48" s="462">
        <v>43</v>
      </c>
      <c r="B48" s="506"/>
      <c r="C48" s="507" t="s">
        <v>218</v>
      </c>
      <c r="D48" s="508" t="s">
        <v>508</v>
      </c>
      <c r="E48" s="150">
        <v>248.56</v>
      </c>
      <c r="F48" s="150">
        <v>469.64</v>
      </c>
      <c r="G48" s="150">
        <v>600</v>
      </c>
      <c r="H48" s="150">
        <v>300</v>
      </c>
      <c r="I48" s="150">
        <v>0</v>
      </c>
      <c r="J48" s="150">
        <v>0</v>
      </c>
      <c r="K48" s="150">
        <v>0</v>
      </c>
      <c r="L48" s="162" t="s">
        <v>653</v>
      </c>
      <c r="M48" s="178"/>
    </row>
    <row r="49" spans="1:16" s="35" customFormat="1" ht="15" thickBot="1">
      <c r="A49" s="15"/>
      <c r="B49" s="85" t="s">
        <v>221</v>
      </c>
      <c r="C49"/>
      <c r="D49"/>
      <c r="E49"/>
      <c r="F49"/>
      <c r="G49"/>
      <c r="H49"/>
      <c r="I49" s="28"/>
      <c r="L49" s="28"/>
      <c r="M49" s="176"/>
      <c r="O49" s="338"/>
      <c r="P49" s="343"/>
    </row>
    <row r="50" spans="1:16" s="35" customFormat="1" ht="15.75" thickBot="1">
      <c r="A50" s="1475" t="s">
        <v>9</v>
      </c>
      <c r="B50" s="1476"/>
      <c r="C50" s="1476"/>
      <c r="D50" s="1476"/>
      <c r="E50" s="123" t="s">
        <v>262</v>
      </c>
      <c r="F50" s="123" t="s">
        <v>262</v>
      </c>
      <c r="G50" s="51" t="s">
        <v>263</v>
      </c>
      <c r="H50" s="51" t="s">
        <v>216</v>
      </c>
      <c r="I50" s="139" t="s">
        <v>12</v>
      </c>
      <c r="J50" s="128" t="s">
        <v>12</v>
      </c>
      <c r="K50" s="127" t="s">
        <v>12</v>
      </c>
      <c r="L50" s="28"/>
      <c r="M50" s="176"/>
      <c r="O50" s="338"/>
      <c r="P50" s="343"/>
    </row>
    <row r="51" spans="1:16" s="35" customFormat="1" ht="12.75" customHeight="1">
      <c r="A51" s="54"/>
      <c r="B51" s="55"/>
      <c r="C51" s="56"/>
      <c r="D51" s="57"/>
      <c r="E51" s="80"/>
      <c r="F51" s="80"/>
      <c r="G51" s="125" t="s">
        <v>215</v>
      </c>
      <c r="H51" s="125" t="s">
        <v>217</v>
      </c>
      <c r="I51" s="140"/>
      <c r="J51" s="184" t="s">
        <v>320</v>
      </c>
      <c r="K51" s="184" t="s">
        <v>320</v>
      </c>
      <c r="L51" s="28"/>
      <c r="M51" s="176"/>
      <c r="O51" s="338"/>
      <c r="P51" s="343"/>
    </row>
    <row r="52" spans="1:16" s="35" customFormat="1" ht="15.75">
      <c r="A52" s="1466" t="s">
        <v>467</v>
      </c>
      <c r="B52" s="1468" t="s">
        <v>468</v>
      </c>
      <c r="C52" s="1468" t="s">
        <v>469</v>
      </c>
      <c r="D52" s="1470" t="s">
        <v>5</v>
      </c>
      <c r="E52" s="124" t="s">
        <v>272</v>
      </c>
      <c r="F52" s="124" t="s">
        <v>284</v>
      </c>
      <c r="G52" s="126">
        <v>2023</v>
      </c>
      <c r="H52" s="82" t="s">
        <v>332</v>
      </c>
      <c r="I52" s="141">
        <v>2024</v>
      </c>
      <c r="J52" s="130" t="s">
        <v>421</v>
      </c>
      <c r="K52" s="129">
        <v>2026</v>
      </c>
      <c r="L52" s="28"/>
      <c r="M52" s="176"/>
      <c r="O52" s="338"/>
      <c r="P52" s="343"/>
    </row>
    <row r="53" spans="1:16" s="35" customFormat="1" ht="13.5" thickBot="1">
      <c r="A53" s="1467"/>
      <c r="B53" s="1469"/>
      <c r="C53" s="1469"/>
      <c r="D53" s="1471"/>
      <c r="E53" s="83" t="s">
        <v>207</v>
      </c>
      <c r="F53" s="83" t="s">
        <v>207</v>
      </c>
      <c r="G53" s="84" t="s">
        <v>207</v>
      </c>
      <c r="H53" s="84" t="s">
        <v>207</v>
      </c>
      <c r="I53" s="142" t="s">
        <v>207</v>
      </c>
      <c r="J53" s="132" t="s">
        <v>207</v>
      </c>
      <c r="K53" s="131" t="s">
        <v>207</v>
      </c>
      <c r="L53" s="28"/>
      <c r="M53" s="176"/>
      <c r="O53" s="338"/>
      <c r="P53" s="343"/>
    </row>
    <row r="54" spans="1:11" ht="18" customHeight="1" thickBot="1" thickTop="1">
      <c r="A54" s="456">
        <v>1</v>
      </c>
      <c r="B54" s="457">
        <v>4</v>
      </c>
      <c r="C54" s="112" t="s">
        <v>74</v>
      </c>
      <c r="D54" s="458"/>
      <c r="E54" s="109">
        <f>E55</f>
        <v>70134.07</v>
      </c>
      <c r="F54" s="109">
        <f>F55</f>
        <v>145702.04</v>
      </c>
      <c r="G54" s="109">
        <f aca="true" t="shared" si="13" ref="G54:K55">G55</f>
        <v>6115434.170000001</v>
      </c>
      <c r="H54" s="109">
        <f t="shared" si="13"/>
        <v>114936</v>
      </c>
      <c r="I54" s="109">
        <f t="shared" si="13"/>
        <v>2555723.77</v>
      </c>
      <c r="J54" s="109">
        <f t="shared" si="13"/>
        <v>0</v>
      </c>
      <c r="K54" s="109">
        <f t="shared" si="13"/>
        <v>0</v>
      </c>
    </row>
    <row r="55" spans="1:16" s="35" customFormat="1" ht="24.75" customHeight="1" thickBot="1" thickTop="1">
      <c r="A55" s="456">
        <v>2</v>
      </c>
      <c r="B55" s="459" t="s">
        <v>102</v>
      </c>
      <c r="C55" s="460"/>
      <c r="D55" s="461"/>
      <c r="E55" s="110">
        <f>E56</f>
        <v>70134.07</v>
      </c>
      <c r="F55" s="110">
        <f>F56</f>
        <v>145702.04</v>
      </c>
      <c r="G55" s="110">
        <f t="shared" si="13"/>
        <v>6115434.170000001</v>
      </c>
      <c r="H55" s="110">
        <f t="shared" si="13"/>
        <v>114936</v>
      </c>
      <c r="I55" s="110">
        <f t="shared" si="13"/>
        <v>2555723.77</v>
      </c>
      <c r="J55" s="110">
        <f t="shared" si="13"/>
        <v>0</v>
      </c>
      <c r="K55" s="110">
        <f t="shared" si="13"/>
        <v>0</v>
      </c>
      <c r="L55" s="28"/>
      <c r="M55" s="176"/>
      <c r="O55" s="338"/>
      <c r="P55" s="343"/>
    </row>
    <row r="56" spans="1:16" s="121" customFormat="1" ht="24.75" customHeight="1" thickTop="1">
      <c r="A56" s="462">
        <v>3</v>
      </c>
      <c r="B56" s="463" t="s">
        <v>186</v>
      </c>
      <c r="C56" s="464" t="s">
        <v>131</v>
      </c>
      <c r="D56" s="465"/>
      <c r="E56" s="111">
        <f>SUM(E57:E81)</f>
        <v>70134.07</v>
      </c>
      <c r="F56" s="111">
        <f>SUM(F57:F81)</f>
        <v>145702.04</v>
      </c>
      <c r="G56" s="111">
        <f>SUM(G57:G83)</f>
        <v>6115434.170000001</v>
      </c>
      <c r="H56" s="111">
        <f>SUM(H57:H84)</f>
        <v>114936</v>
      </c>
      <c r="I56" s="111">
        <f>SUM(I57:I85)</f>
        <v>2555723.77</v>
      </c>
      <c r="J56" s="111">
        <f>SUM(J57:J84)</f>
        <v>0</v>
      </c>
      <c r="K56" s="111">
        <f>SUM(K57:K84)</f>
        <v>0</v>
      </c>
      <c r="L56" s="165"/>
      <c r="O56" s="338"/>
      <c r="P56" s="170"/>
    </row>
    <row r="57" spans="1:11" ht="12.75">
      <c r="A57" s="462">
        <v>4</v>
      </c>
      <c r="B57" s="466"/>
      <c r="C57" s="467" t="s">
        <v>222</v>
      </c>
      <c r="D57" s="468" t="s">
        <v>622</v>
      </c>
      <c r="E57" s="147">
        <v>0</v>
      </c>
      <c r="F57" s="147">
        <v>2</v>
      </c>
      <c r="G57" s="147">
        <v>0</v>
      </c>
      <c r="H57" s="147">
        <v>350</v>
      </c>
      <c r="I57" s="147">
        <v>0</v>
      </c>
      <c r="J57" s="147">
        <v>0</v>
      </c>
      <c r="K57" s="147">
        <v>0</v>
      </c>
    </row>
    <row r="58" spans="1:13" ht="12.75">
      <c r="A58" s="462">
        <v>5</v>
      </c>
      <c r="B58" s="466"/>
      <c r="C58" s="467" t="s">
        <v>222</v>
      </c>
      <c r="D58" s="468" t="s">
        <v>623</v>
      </c>
      <c r="E58" s="147">
        <v>0</v>
      </c>
      <c r="F58" s="147">
        <v>0</v>
      </c>
      <c r="G58" s="147">
        <v>0</v>
      </c>
      <c r="H58" s="147">
        <v>486</v>
      </c>
      <c r="I58" s="147">
        <v>0</v>
      </c>
      <c r="J58" s="147">
        <v>0</v>
      </c>
      <c r="K58" s="147">
        <v>0</v>
      </c>
      <c r="M58" s="178"/>
    </row>
    <row r="59" spans="1:13" ht="24">
      <c r="A59" s="462">
        <v>6</v>
      </c>
      <c r="B59" s="466"/>
      <c r="C59" s="467" t="s">
        <v>222</v>
      </c>
      <c r="D59" s="469" t="s">
        <v>437</v>
      </c>
      <c r="E59" s="147">
        <v>0</v>
      </c>
      <c r="F59" s="147">
        <v>32000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M59" s="178"/>
    </row>
    <row r="60" spans="1:13" ht="12.75">
      <c r="A60" s="462">
        <v>7</v>
      </c>
      <c r="B60" s="466"/>
      <c r="C60" s="467" t="s">
        <v>222</v>
      </c>
      <c r="D60" s="469" t="s">
        <v>624</v>
      </c>
      <c r="E60" s="147">
        <v>0</v>
      </c>
      <c r="F60" s="147">
        <v>0</v>
      </c>
      <c r="G60" s="147">
        <v>0</v>
      </c>
      <c r="H60" s="147">
        <v>8000</v>
      </c>
      <c r="I60" s="147">
        <v>0</v>
      </c>
      <c r="J60" s="147">
        <v>0</v>
      </c>
      <c r="K60" s="147">
        <v>0</v>
      </c>
      <c r="M60" s="178"/>
    </row>
    <row r="61" spans="1:13" ht="24">
      <c r="A61" s="462">
        <v>8</v>
      </c>
      <c r="B61" s="466"/>
      <c r="C61" s="467" t="s">
        <v>222</v>
      </c>
      <c r="D61" s="469" t="s">
        <v>605</v>
      </c>
      <c r="E61" s="147">
        <v>0</v>
      </c>
      <c r="F61" s="147">
        <v>0</v>
      </c>
      <c r="G61" s="147">
        <v>0</v>
      </c>
      <c r="H61" s="147">
        <v>0</v>
      </c>
      <c r="I61" s="147">
        <v>30000</v>
      </c>
      <c r="J61" s="147">
        <v>0</v>
      </c>
      <c r="K61" s="147">
        <v>0</v>
      </c>
      <c r="L61" s="178" t="s">
        <v>659</v>
      </c>
      <c r="M61" s="178"/>
    </row>
    <row r="62" spans="1:13" ht="36">
      <c r="A62" s="470">
        <v>9</v>
      </c>
      <c r="B62" s="471"/>
      <c r="C62" s="472" t="s">
        <v>222</v>
      </c>
      <c r="D62" s="469" t="s">
        <v>553</v>
      </c>
      <c r="E62" s="147">
        <v>0</v>
      </c>
      <c r="F62" s="147">
        <v>0</v>
      </c>
      <c r="G62" s="147">
        <v>0</v>
      </c>
      <c r="H62" s="147">
        <v>16100</v>
      </c>
      <c r="I62" s="147">
        <v>0</v>
      </c>
      <c r="J62" s="147">
        <v>0</v>
      </c>
      <c r="K62" s="147">
        <v>0</v>
      </c>
      <c r="L62" s="178"/>
      <c r="M62" s="178"/>
    </row>
    <row r="63" spans="1:13" ht="24">
      <c r="A63" s="470">
        <v>10</v>
      </c>
      <c r="B63" s="471"/>
      <c r="C63" s="472" t="s">
        <v>222</v>
      </c>
      <c r="D63" s="469" t="s">
        <v>554</v>
      </c>
      <c r="E63" s="147">
        <v>0</v>
      </c>
      <c r="F63" s="147">
        <v>0</v>
      </c>
      <c r="G63" s="147">
        <v>0</v>
      </c>
      <c r="H63" s="147">
        <v>0</v>
      </c>
      <c r="I63" s="147">
        <v>300000</v>
      </c>
      <c r="J63" s="147">
        <v>0</v>
      </c>
      <c r="K63" s="147">
        <v>0</v>
      </c>
      <c r="L63" s="178"/>
      <c r="M63" s="178"/>
    </row>
    <row r="64" spans="1:18" ht="24">
      <c r="A64" s="470">
        <v>11</v>
      </c>
      <c r="B64" s="471"/>
      <c r="C64" s="472" t="s">
        <v>222</v>
      </c>
      <c r="D64" s="469" t="s">
        <v>555</v>
      </c>
      <c r="E64" s="147">
        <v>0</v>
      </c>
      <c r="F64" s="147">
        <v>0</v>
      </c>
      <c r="G64" s="147">
        <v>0</v>
      </c>
      <c r="H64" s="147">
        <v>0</v>
      </c>
      <c r="I64" s="147">
        <v>20000</v>
      </c>
      <c r="J64" s="147">
        <v>0</v>
      </c>
      <c r="K64" s="147">
        <v>0</v>
      </c>
      <c r="L64" s="1246" t="s">
        <v>660</v>
      </c>
      <c r="M64" s="1246"/>
      <c r="N64" s="30"/>
      <c r="O64" s="373"/>
      <c r="P64" s="299"/>
      <c r="Q64" s="30"/>
      <c r="R64" s="30"/>
    </row>
    <row r="65" spans="1:18" s="35" customFormat="1" ht="12">
      <c r="A65" s="462">
        <v>12</v>
      </c>
      <c r="B65" s="473"/>
      <c r="C65" s="474" t="s">
        <v>222</v>
      </c>
      <c r="D65" s="469" t="s">
        <v>522</v>
      </c>
      <c r="E65" s="215">
        <v>0</v>
      </c>
      <c r="F65" s="215">
        <v>0</v>
      </c>
      <c r="G65" s="215">
        <v>495860</v>
      </c>
      <c r="H65" s="215">
        <v>0</v>
      </c>
      <c r="I65" s="215">
        <v>0</v>
      </c>
      <c r="J65" s="215">
        <v>0</v>
      </c>
      <c r="K65" s="148">
        <v>0</v>
      </c>
      <c r="L65" s="1246"/>
      <c r="M65" s="1246"/>
      <c r="N65" s="73"/>
      <c r="O65" s="373"/>
      <c r="P65" s="374"/>
      <c r="Q65" s="73"/>
      <c r="R65" s="73"/>
    </row>
    <row r="66" spans="1:18" s="35" customFormat="1" ht="24">
      <c r="A66" s="462">
        <v>13</v>
      </c>
      <c r="B66" s="473"/>
      <c r="C66" s="474" t="s">
        <v>222</v>
      </c>
      <c r="D66" s="469" t="s">
        <v>489</v>
      </c>
      <c r="E66" s="215">
        <v>0</v>
      </c>
      <c r="F66" s="215">
        <v>0</v>
      </c>
      <c r="G66" s="215">
        <v>25000</v>
      </c>
      <c r="H66" s="215">
        <v>0</v>
      </c>
      <c r="I66" s="215">
        <v>0</v>
      </c>
      <c r="J66" s="215">
        <v>0</v>
      </c>
      <c r="K66" s="148">
        <v>0</v>
      </c>
      <c r="L66" s="1246"/>
      <c r="M66" s="1246"/>
      <c r="N66" s="73"/>
      <c r="O66" s="373"/>
      <c r="P66" s="374"/>
      <c r="Q66" s="73"/>
      <c r="R66" s="73"/>
    </row>
    <row r="67" spans="1:18" s="35" customFormat="1" ht="24">
      <c r="A67" s="462">
        <v>14</v>
      </c>
      <c r="B67" s="473"/>
      <c r="C67" s="474" t="s">
        <v>222</v>
      </c>
      <c r="D67" s="469" t="s">
        <v>517</v>
      </c>
      <c r="E67" s="215">
        <v>0</v>
      </c>
      <c r="F67" s="215">
        <v>0</v>
      </c>
      <c r="G67" s="215">
        <v>3325000</v>
      </c>
      <c r="H67" s="215">
        <v>0</v>
      </c>
      <c r="I67" s="215">
        <v>0</v>
      </c>
      <c r="J67" s="215">
        <v>0</v>
      </c>
      <c r="K67" s="148">
        <v>0</v>
      </c>
      <c r="L67" s="1246"/>
      <c r="M67" s="1246"/>
      <c r="N67" s="73"/>
      <c r="O67" s="373"/>
      <c r="P67" s="374"/>
      <c r="Q67" s="73"/>
      <c r="R67" s="73"/>
    </row>
    <row r="68" spans="1:18" s="35" customFormat="1" ht="24">
      <c r="A68" s="462">
        <v>15</v>
      </c>
      <c r="B68" s="473"/>
      <c r="C68" s="474" t="s">
        <v>222</v>
      </c>
      <c r="D68" s="469" t="s">
        <v>483</v>
      </c>
      <c r="E68" s="215">
        <v>0</v>
      </c>
      <c r="F68" s="215">
        <v>0</v>
      </c>
      <c r="G68" s="215">
        <v>175000</v>
      </c>
      <c r="H68" s="215">
        <v>0</v>
      </c>
      <c r="I68" s="215">
        <v>0</v>
      </c>
      <c r="J68" s="215">
        <v>0</v>
      </c>
      <c r="K68" s="148">
        <v>0</v>
      </c>
      <c r="L68" s="1246"/>
      <c r="M68" s="1246"/>
      <c r="N68" s="73"/>
      <c r="O68" s="373"/>
      <c r="P68" s="374"/>
      <c r="Q68" s="375"/>
      <c r="R68" s="73"/>
    </row>
    <row r="69" spans="1:18" s="35" customFormat="1" ht="24">
      <c r="A69" s="462">
        <v>16</v>
      </c>
      <c r="B69" s="473"/>
      <c r="C69" s="474" t="s">
        <v>222</v>
      </c>
      <c r="D69" s="469" t="s">
        <v>556</v>
      </c>
      <c r="E69" s="215">
        <v>0</v>
      </c>
      <c r="F69" s="215">
        <v>0</v>
      </c>
      <c r="G69" s="215">
        <v>0</v>
      </c>
      <c r="H69" s="215">
        <v>0</v>
      </c>
      <c r="I69" s="215">
        <v>45000</v>
      </c>
      <c r="J69" s="215">
        <v>0</v>
      </c>
      <c r="K69" s="148">
        <v>0</v>
      </c>
      <c r="L69" s="1246" t="s">
        <v>660</v>
      </c>
      <c r="M69" s="1246"/>
      <c r="N69" s="73"/>
      <c r="O69" s="373"/>
      <c r="P69" s="374"/>
      <c r="Q69" s="375"/>
      <c r="R69" s="73"/>
    </row>
    <row r="70" spans="1:18" s="35" customFormat="1" ht="36">
      <c r="A70" s="462">
        <v>17</v>
      </c>
      <c r="B70" s="473"/>
      <c r="C70" s="474" t="s">
        <v>222</v>
      </c>
      <c r="D70" s="475" t="s">
        <v>518</v>
      </c>
      <c r="E70" s="215">
        <v>0</v>
      </c>
      <c r="F70" s="215">
        <v>0</v>
      </c>
      <c r="G70" s="215">
        <v>198340.23</v>
      </c>
      <c r="H70" s="215">
        <v>0</v>
      </c>
      <c r="I70" s="215">
        <v>198340.23</v>
      </c>
      <c r="J70" s="215">
        <v>0</v>
      </c>
      <c r="K70" s="148">
        <v>0</v>
      </c>
      <c r="L70" s="1246"/>
      <c r="M70" s="1246"/>
      <c r="N70" s="73"/>
      <c r="O70" s="373"/>
      <c r="P70" s="374"/>
      <c r="Q70" s="375"/>
      <c r="R70" s="73"/>
    </row>
    <row r="71" spans="1:18" s="35" customFormat="1" ht="36">
      <c r="A71" s="470">
        <v>18</v>
      </c>
      <c r="B71" s="473"/>
      <c r="C71" s="474" t="s">
        <v>222</v>
      </c>
      <c r="D71" s="475" t="s">
        <v>438</v>
      </c>
      <c r="E71" s="215">
        <v>0</v>
      </c>
      <c r="F71" s="215">
        <v>0</v>
      </c>
      <c r="G71" s="215">
        <v>9917.01</v>
      </c>
      <c r="H71" s="215">
        <v>0</v>
      </c>
      <c r="I71" s="215">
        <v>9917.01</v>
      </c>
      <c r="J71" s="215">
        <v>0</v>
      </c>
      <c r="K71" s="148">
        <v>0</v>
      </c>
      <c r="L71" s="1246" t="s">
        <v>659</v>
      </c>
      <c r="M71" s="1246"/>
      <c r="N71" s="73"/>
      <c r="O71" s="373"/>
      <c r="P71" s="374"/>
      <c r="Q71" s="73"/>
      <c r="R71" s="73"/>
    </row>
    <row r="72" spans="1:18" s="35" customFormat="1" ht="12">
      <c r="A72" s="470">
        <v>19</v>
      </c>
      <c r="B72" s="473"/>
      <c r="C72" s="474" t="s">
        <v>222</v>
      </c>
      <c r="D72" s="476" t="s">
        <v>557</v>
      </c>
      <c r="E72" s="215">
        <v>0</v>
      </c>
      <c r="F72" s="215">
        <v>0</v>
      </c>
      <c r="G72" s="215">
        <v>0</v>
      </c>
      <c r="H72" s="215">
        <v>80000</v>
      </c>
      <c r="I72" s="215">
        <v>0</v>
      </c>
      <c r="J72" s="215">
        <v>0</v>
      </c>
      <c r="K72" s="148">
        <v>0</v>
      </c>
      <c r="L72" s="1246"/>
      <c r="M72" s="1246"/>
      <c r="N72" s="73"/>
      <c r="O72" s="373"/>
      <c r="P72" s="374"/>
      <c r="Q72" s="73"/>
      <c r="R72" s="73"/>
    </row>
    <row r="73" spans="1:18" s="35" customFormat="1" ht="12">
      <c r="A73" s="470">
        <v>20</v>
      </c>
      <c r="B73" s="473"/>
      <c r="C73" s="474" t="s">
        <v>222</v>
      </c>
      <c r="D73" s="476" t="s">
        <v>558</v>
      </c>
      <c r="E73" s="215">
        <v>0</v>
      </c>
      <c r="F73" s="215">
        <v>0</v>
      </c>
      <c r="G73" s="215">
        <v>0</v>
      </c>
      <c r="H73" s="215">
        <v>10000</v>
      </c>
      <c r="I73" s="215">
        <v>0</v>
      </c>
      <c r="J73" s="215">
        <v>0</v>
      </c>
      <c r="K73" s="148">
        <v>0</v>
      </c>
      <c r="L73" s="1246"/>
      <c r="M73" s="1246"/>
      <c r="N73" s="73"/>
      <c r="O73" s="373"/>
      <c r="P73" s="374"/>
      <c r="Q73" s="73"/>
      <c r="R73" s="73"/>
    </row>
    <row r="74" spans="1:18" s="35" customFormat="1" ht="12">
      <c r="A74" s="462">
        <v>21</v>
      </c>
      <c r="B74" s="473"/>
      <c r="C74" s="474" t="s">
        <v>222</v>
      </c>
      <c r="D74" s="469" t="s">
        <v>422</v>
      </c>
      <c r="E74" s="148">
        <v>10056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246"/>
      <c r="M74" s="1246"/>
      <c r="N74" s="73"/>
      <c r="O74" s="373"/>
      <c r="P74" s="374"/>
      <c r="Q74" s="73"/>
      <c r="R74" s="73"/>
    </row>
    <row r="75" spans="1:18" s="35" customFormat="1" ht="24">
      <c r="A75" s="462">
        <v>22</v>
      </c>
      <c r="B75" s="473"/>
      <c r="C75" s="474" t="s">
        <v>222</v>
      </c>
      <c r="D75" s="469" t="s">
        <v>499</v>
      </c>
      <c r="E75" s="148">
        <v>10400</v>
      </c>
      <c r="F75" s="148">
        <v>1624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203"/>
      <c r="M75" s="203"/>
      <c r="N75" s="73"/>
      <c r="O75" s="373"/>
      <c r="P75" s="374"/>
      <c r="Q75" s="73"/>
      <c r="R75" s="73"/>
    </row>
    <row r="76" spans="1:18" s="35" customFormat="1" ht="24">
      <c r="A76" s="462">
        <v>23</v>
      </c>
      <c r="B76" s="473"/>
      <c r="C76" s="474" t="s">
        <v>222</v>
      </c>
      <c r="D76" s="469" t="s">
        <v>398</v>
      </c>
      <c r="E76" s="148">
        <v>0</v>
      </c>
      <c r="F76" s="148">
        <v>89868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203"/>
      <c r="M76" s="203"/>
      <c r="N76" s="73"/>
      <c r="O76" s="373"/>
      <c r="P76" s="374"/>
      <c r="Q76" s="73"/>
      <c r="R76" s="73"/>
    </row>
    <row r="77" spans="1:18" s="35" customFormat="1" ht="12">
      <c r="A77" s="470">
        <v>24</v>
      </c>
      <c r="B77" s="473"/>
      <c r="C77" s="474" t="s">
        <v>222</v>
      </c>
      <c r="D77" s="469" t="s">
        <v>500</v>
      </c>
      <c r="E77" s="148">
        <v>22200</v>
      </c>
      <c r="F77" s="148">
        <v>2162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203"/>
      <c r="M77" s="203"/>
      <c r="N77" s="73"/>
      <c r="O77" s="373"/>
      <c r="P77" s="374"/>
      <c r="Q77" s="73"/>
      <c r="R77" s="73"/>
    </row>
    <row r="78" spans="1:18" s="35" customFormat="1" ht="24">
      <c r="A78" s="462">
        <v>25</v>
      </c>
      <c r="B78" s="473"/>
      <c r="C78" s="474" t="s">
        <v>222</v>
      </c>
      <c r="D78" s="469" t="s">
        <v>395</v>
      </c>
      <c r="E78" s="148">
        <v>7500</v>
      </c>
      <c r="F78" s="148">
        <v>5424</v>
      </c>
      <c r="G78" s="148">
        <v>0</v>
      </c>
      <c r="H78" s="148">
        <v>0</v>
      </c>
      <c r="I78" s="215">
        <v>0</v>
      </c>
      <c r="J78" s="148">
        <v>0</v>
      </c>
      <c r="K78" s="148">
        <v>0</v>
      </c>
      <c r="L78" s="203"/>
      <c r="M78" s="203"/>
      <c r="N78" s="73"/>
      <c r="O78" s="373"/>
      <c r="P78" s="374"/>
      <c r="Q78" s="73"/>
      <c r="R78" s="73"/>
    </row>
    <row r="79" spans="1:18" s="35" customFormat="1" ht="24">
      <c r="A79" s="462">
        <v>26</v>
      </c>
      <c r="B79" s="473"/>
      <c r="C79" s="474" t="s">
        <v>222</v>
      </c>
      <c r="D79" s="469" t="s">
        <v>396</v>
      </c>
      <c r="E79" s="148">
        <v>19978.07</v>
      </c>
      <c r="F79" s="148">
        <v>14622.04</v>
      </c>
      <c r="G79" s="148">
        <v>0</v>
      </c>
      <c r="H79" s="148">
        <v>0</v>
      </c>
      <c r="I79" s="215">
        <v>0</v>
      </c>
      <c r="J79" s="148">
        <v>0</v>
      </c>
      <c r="K79" s="148">
        <v>0</v>
      </c>
      <c r="L79" s="1246"/>
      <c r="M79" s="1246"/>
      <c r="N79" s="73"/>
      <c r="O79" s="373"/>
      <c r="P79" s="374"/>
      <c r="Q79" s="73"/>
      <c r="R79" s="73"/>
    </row>
    <row r="80" spans="1:18" ht="24">
      <c r="A80" s="462">
        <v>27</v>
      </c>
      <c r="B80" s="473"/>
      <c r="C80" s="474" t="s">
        <v>222</v>
      </c>
      <c r="D80" s="469" t="s">
        <v>519</v>
      </c>
      <c r="E80" s="148">
        <v>0</v>
      </c>
      <c r="F80" s="148">
        <v>0</v>
      </c>
      <c r="G80" s="148">
        <v>1608905.46</v>
      </c>
      <c r="H80" s="148">
        <v>0</v>
      </c>
      <c r="I80" s="148">
        <v>1608905.46</v>
      </c>
      <c r="J80" s="148">
        <v>0</v>
      </c>
      <c r="K80" s="148">
        <v>0</v>
      </c>
      <c r="L80" s="1246"/>
      <c r="M80" s="1246"/>
      <c r="N80" s="30"/>
      <c r="O80" s="373"/>
      <c r="P80" s="299"/>
      <c r="Q80" s="30"/>
      <c r="R80" s="30"/>
    </row>
    <row r="81" spans="1:18" ht="24">
      <c r="A81" s="462">
        <v>28</v>
      </c>
      <c r="B81" s="473"/>
      <c r="C81" s="474" t="s">
        <v>222</v>
      </c>
      <c r="D81" s="469" t="s">
        <v>559</v>
      </c>
      <c r="E81" s="148">
        <v>0</v>
      </c>
      <c r="F81" s="148">
        <v>0</v>
      </c>
      <c r="G81" s="148">
        <v>0</v>
      </c>
      <c r="H81" s="148">
        <v>0</v>
      </c>
      <c r="I81" s="148">
        <v>35000</v>
      </c>
      <c r="J81" s="148">
        <v>0</v>
      </c>
      <c r="K81" s="148">
        <v>0</v>
      </c>
      <c r="L81" s="405" t="s">
        <v>659</v>
      </c>
      <c r="M81" s="405"/>
      <c r="N81" s="352"/>
      <c r="O81" s="373"/>
      <c r="P81" s="373"/>
      <c r="Q81" s="30"/>
      <c r="R81" s="30"/>
    </row>
    <row r="82" spans="1:18" ht="24">
      <c r="A82" s="462">
        <v>29</v>
      </c>
      <c r="B82" s="473"/>
      <c r="C82" s="474" t="s">
        <v>222</v>
      </c>
      <c r="D82" s="469" t="s">
        <v>520</v>
      </c>
      <c r="E82" s="148">
        <v>0</v>
      </c>
      <c r="F82" s="148">
        <v>0</v>
      </c>
      <c r="G82" s="148">
        <v>263540.9</v>
      </c>
      <c r="H82" s="148">
        <v>0</v>
      </c>
      <c r="I82" s="148">
        <v>271181.07</v>
      </c>
      <c r="J82" s="148">
        <v>0</v>
      </c>
      <c r="K82" s="148">
        <v>0</v>
      </c>
      <c r="L82" s="1246"/>
      <c r="M82" s="1246"/>
      <c r="N82" s="30"/>
      <c r="O82" s="373"/>
      <c r="P82" s="299"/>
      <c r="Q82" s="30"/>
      <c r="R82" s="30"/>
    </row>
    <row r="83" spans="1:18" ht="36">
      <c r="A83" s="462">
        <v>30</v>
      </c>
      <c r="B83" s="473"/>
      <c r="C83" s="474" t="s">
        <v>222</v>
      </c>
      <c r="D83" s="469" t="s">
        <v>439</v>
      </c>
      <c r="E83" s="148">
        <v>0</v>
      </c>
      <c r="F83" s="148">
        <v>0</v>
      </c>
      <c r="G83" s="148">
        <v>13870.57</v>
      </c>
      <c r="H83" s="148">
        <v>0</v>
      </c>
      <c r="I83" s="148">
        <v>0</v>
      </c>
      <c r="J83" s="148">
        <v>0</v>
      </c>
      <c r="K83" s="148">
        <v>0</v>
      </c>
      <c r="L83" s="1246"/>
      <c r="M83" s="1246"/>
      <c r="N83" s="30"/>
      <c r="O83" s="373"/>
      <c r="P83" s="373"/>
      <c r="Q83" s="30"/>
      <c r="R83" s="30"/>
    </row>
    <row r="84" spans="1:18" ht="24">
      <c r="A84" s="462">
        <v>31</v>
      </c>
      <c r="B84" s="473"/>
      <c r="C84" s="474" t="s">
        <v>222</v>
      </c>
      <c r="D84" s="469" t="s">
        <v>560</v>
      </c>
      <c r="E84" s="148">
        <v>0</v>
      </c>
      <c r="F84" s="148">
        <v>0</v>
      </c>
      <c r="G84" s="148">
        <v>0</v>
      </c>
      <c r="H84" s="148">
        <v>0</v>
      </c>
      <c r="I84" s="148">
        <v>33880</v>
      </c>
      <c r="J84" s="148">
        <v>0</v>
      </c>
      <c r="K84" s="148">
        <v>0</v>
      </c>
      <c r="L84" s="1246" t="s">
        <v>660</v>
      </c>
      <c r="M84" s="1246"/>
      <c r="N84" s="30"/>
      <c r="O84" s="373"/>
      <c r="P84" s="373"/>
      <c r="Q84" s="30"/>
      <c r="R84" s="30"/>
    </row>
    <row r="85" spans="1:18" ht="12.75">
      <c r="A85" s="462">
        <v>32</v>
      </c>
      <c r="B85" s="473"/>
      <c r="C85" s="474" t="s">
        <v>222</v>
      </c>
      <c r="D85" s="469" t="s">
        <v>654</v>
      </c>
      <c r="E85" s="148">
        <v>0</v>
      </c>
      <c r="F85" s="148">
        <v>0</v>
      </c>
      <c r="G85" s="148">
        <v>0</v>
      </c>
      <c r="H85" s="148">
        <v>0</v>
      </c>
      <c r="I85" s="148">
        <v>3500</v>
      </c>
      <c r="J85" s="148">
        <v>0</v>
      </c>
      <c r="K85" s="148">
        <v>0</v>
      </c>
      <c r="L85" s="1246" t="s">
        <v>659</v>
      </c>
      <c r="M85" s="1246"/>
      <c r="N85" s="30"/>
      <c r="O85" s="376"/>
      <c r="P85" s="376"/>
      <c r="Q85" s="377"/>
      <c r="R85" s="30"/>
    </row>
    <row r="86" spans="9:18" ht="12.75">
      <c r="I86" s="30"/>
      <c r="J86" s="30"/>
      <c r="K86" s="30"/>
      <c r="L86" s="300"/>
      <c r="M86" s="1246"/>
      <c r="N86" s="30"/>
      <c r="O86" s="378"/>
      <c r="P86" s="378"/>
      <c r="Q86" s="379"/>
      <c r="R86" s="30"/>
    </row>
    <row r="87" spans="12:18" ht="12.75">
      <c r="L87" s="300"/>
      <c r="M87" s="1246"/>
      <c r="N87" s="30"/>
      <c r="O87" s="373"/>
      <c r="P87" s="299"/>
      <c r="Q87" s="30"/>
      <c r="R87" s="30"/>
    </row>
    <row r="88" spans="12:18" ht="12.75">
      <c r="L88" s="300"/>
      <c r="M88" s="1246"/>
      <c r="N88" s="30"/>
      <c r="O88" s="373"/>
      <c r="P88" s="299"/>
      <c r="Q88" s="30"/>
      <c r="R88" s="30"/>
    </row>
    <row r="89" spans="9:18" ht="12.75">
      <c r="I89" s="349"/>
      <c r="L89" s="300"/>
      <c r="M89" s="1246"/>
      <c r="N89" s="30"/>
      <c r="O89" s="373"/>
      <c r="P89" s="299"/>
      <c r="Q89" s="30"/>
      <c r="R89" s="30"/>
    </row>
    <row r="90" spans="9:18" ht="12.75">
      <c r="I90" s="349"/>
      <c r="L90" s="300"/>
      <c r="M90" s="1246"/>
      <c r="N90" s="30"/>
      <c r="O90" s="373"/>
      <c r="P90" s="299"/>
      <c r="Q90" s="30"/>
      <c r="R90" s="30"/>
    </row>
    <row r="91" spans="9:18" ht="12.75">
      <c r="I91" s="349"/>
      <c r="J91" s="349"/>
      <c r="L91" s="300"/>
      <c r="M91" s="1246"/>
      <c r="N91" s="30"/>
      <c r="O91" s="373"/>
      <c r="P91" s="299"/>
      <c r="Q91" s="30"/>
      <c r="R91" s="30"/>
    </row>
    <row r="92" ht="12.75">
      <c r="M92" s="178"/>
    </row>
    <row r="93" ht="12.75">
      <c r="M93" s="178"/>
    </row>
    <row r="94" ht="12.75">
      <c r="I94" s="350"/>
    </row>
    <row r="95" ht="12.75">
      <c r="I95" s="350"/>
    </row>
    <row r="96" ht="12.75">
      <c r="I96" s="350"/>
    </row>
    <row r="97" ht="12.75">
      <c r="I97" s="350"/>
    </row>
    <row r="98" ht="12.75">
      <c r="I98" s="145"/>
    </row>
    <row r="99" ht="12.75">
      <c r="J99" s="28"/>
    </row>
  </sheetData>
  <sheetProtection/>
  <mergeCells count="10">
    <mergeCell ref="A52:A53"/>
    <mergeCell ref="B52:B53"/>
    <mergeCell ref="C52:C53"/>
    <mergeCell ref="D52:D53"/>
    <mergeCell ref="A2:D2"/>
    <mergeCell ref="A50:D50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V38" sqref="V38"/>
    </sheetView>
  </sheetViews>
  <sheetFormatPr defaultColWidth="2.7109375" defaultRowHeight="12.75"/>
  <cols>
    <col min="1" max="1" width="3.00390625" style="0" customWidth="1"/>
    <col min="2" max="2" width="5.7109375" style="0" customWidth="1"/>
    <col min="3" max="3" width="7.57421875" style="0" customWidth="1"/>
    <col min="4" max="4" width="25.57421875" style="0" customWidth="1"/>
    <col min="5" max="6" width="10.57421875" style="0" bestFit="1" customWidth="1"/>
    <col min="7" max="7" width="9.28125" style="0" bestFit="1" customWidth="1"/>
    <col min="8" max="8" width="10.57421875" style="0" bestFit="1" customWidth="1"/>
    <col min="9" max="9" width="9.421875" style="0" bestFit="1" customWidth="1"/>
    <col min="10" max="10" width="8.7109375" style="0" bestFit="1" customWidth="1"/>
    <col min="11" max="11" width="8.57421875" style="0" bestFit="1" customWidth="1"/>
    <col min="12" max="12" width="20.00390625" style="0" customWidth="1"/>
    <col min="13" max="14" width="2.7109375" style="0" customWidth="1"/>
    <col min="15" max="15" width="8.421875" style="0" customWidth="1"/>
  </cols>
  <sheetData>
    <row r="1" spans="1:2" ht="15" thickBot="1">
      <c r="A1" s="15"/>
      <c r="B1" s="85" t="s">
        <v>223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54"/>
      <c r="B3" s="55"/>
      <c r="C3" s="56"/>
      <c r="D3" s="97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s="121" customFormat="1" ht="14.25" thickBot="1" thickTop="1">
      <c r="A6" s="456">
        <v>1</v>
      </c>
      <c r="B6" s="459" t="s">
        <v>101</v>
      </c>
      <c r="C6" s="738"/>
      <c r="D6" s="723"/>
      <c r="E6" s="739">
        <f>E7+E15+E19+E25</f>
        <v>6099.459999999999</v>
      </c>
      <c r="F6" s="739">
        <f aca="true" t="shared" si="0" ref="F6:K6">F7+F15+F19+F25</f>
        <v>6522.43</v>
      </c>
      <c r="G6" s="739">
        <f t="shared" si="0"/>
        <v>7625</v>
      </c>
      <c r="H6" s="739">
        <f t="shared" si="0"/>
        <v>18285.45</v>
      </c>
      <c r="I6" s="739">
        <f t="shared" si="0"/>
        <v>9735.45</v>
      </c>
      <c r="J6" s="739">
        <f t="shared" si="0"/>
        <v>9935.45</v>
      </c>
      <c r="K6" s="739">
        <f t="shared" si="0"/>
        <v>9935.45</v>
      </c>
    </row>
    <row r="7" spans="1:11" s="121" customFormat="1" ht="13.5" thickTop="1">
      <c r="A7" s="462">
        <v>2</v>
      </c>
      <c r="B7" s="483">
        <v>1</v>
      </c>
      <c r="C7" s="484" t="s">
        <v>753</v>
      </c>
      <c r="D7" s="485"/>
      <c r="E7" s="160">
        <f aca="true" t="shared" si="1" ref="E7:K7">E8</f>
        <v>2474.2</v>
      </c>
      <c r="F7" s="160">
        <f t="shared" si="1"/>
        <v>3963.39</v>
      </c>
      <c r="G7" s="160">
        <f t="shared" si="1"/>
        <v>4000</v>
      </c>
      <c r="H7" s="160">
        <f t="shared" si="1"/>
        <v>4320.7699999999995</v>
      </c>
      <c r="I7" s="160">
        <f t="shared" si="1"/>
        <v>4320.7699999999995</v>
      </c>
      <c r="J7" s="160">
        <f t="shared" si="1"/>
        <v>4320.7699999999995</v>
      </c>
      <c r="K7" s="160">
        <f t="shared" si="1"/>
        <v>4320.7699999999995</v>
      </c>
    </row>
    <row r="8" spans="1:11" s="121" customFormat="1" ht="12.75">
      <c r="A8" s="462">
        <v>3</v>
      </c>
      <c r="B8" s="740" t="s">
        <v>132</v>
      </c>
      <c r="C8" s="729" t="s">
        <v>174</v>
      </c>
      <c r="D8" s="496"/>
      <c r="E8" s="155">
        <f>SUM(E9:E14)</f>
        <v>2474.2</v>
      </c>
      <c r="F8" s="155">
        <f aca="true" t="shared" si="2" ref="F8:K8">SUM(F9:F14)</f>
        <v>3963.39</v>
      </c>
      <c r="G8" s="155">
        <f>SUM(G9:G14)</f>
        <v>4000</v>
      </c>
      <c r="H8" s="155">
        <f>SUM(H9:H14)</f>
        <v>4320.7699999999995</v>
      </c>
      <c r="I8" s="155">
        <f t="shared" si="2"/>
        <v>4320.7699999999995</v>
      </c>
      <c r="J8" s="155">
        <f t="shared" si="2"/>
        <v>4320.7699999999995</v>
      </c>
      <c r="K8" s="155">
        <f t="shared" si="2"/>
        <v>4320.7699999999995</v>
      </c>
    </row>
    <row r="9" spans="1:15" s="121" customFormat="1" ht="12.75">
      <c r="A9" s="462">
        <v>4</v>
      </c>
      <c r="B9" s="741"/>
      <c r="C9" s="487">
        <v>610</v>
      </c>
      <c r="D9" s="489" t="s">
        <v>473</v>
      </c>
      <c r="E9" s="161">
        <v>1240.79</v>
      </c>
      <c r="F9" s="161">
        <v>2346.66</v>
      </c>
      <c r="G9" s="742">
        <v>2365</v>
      </c>
      <c r="H9" s="742">
        <v>2611.42</v>
      </c>
      <c r="I9" s="742">
        <v>2611.42</v>
      </c>
      <c r="J9" s="742">
        <v>2611.42</v>
      </c>
      <c r="K9" s="742">
        <v>2611.42</v>
      </c>
      <c r="L9" s="170"/>
      <c r="O9" s="170"/>
    </row>
    <row r="10" spans="1:15" s="121" customFormat="1" ht="12.75">
      <c r="A10" s="462">
        <v>5</v>
      </c>
      <c r="B10" s="741"/>
      <c r="C10" s="490">
        <v>620</v>
      </c>
      <c r="D10" s="489" t="s">
        <v>250</v>
      </c>
      <c r="E10" s="161">
        <v>436.76</v>
      </c>
      <c r="F10" s="161">
        <v>820.08</v>
      </c>
      <c r="G10" s="742">
        <f>234.68+32.83+334.99+18.75+70.4+23.46+111.46</f>
        <v>826.57</v>
      </c>
      <c r="H10" s="742">
        <v>912.7</v>
      </c>
      <c r="I10" s="742">
        <v>912.7</v>
      </c>
      <c r="J10" s="742">
        <v>912.7</v>
      </c>
      <c r="K10" s="742">
        <v>912.7</v>
      </c>
      <c r="L10" s="149"/>
      <c r="O10" s="170"/>
    </row>
    <row r="11" spans="1:15" s="121" customFormat="1" ht="24">
      <c r="A11" s="462">
        <v>6</v>
      </c>
      <c r="B11" s="741"/>
      <c r="C11" s="490">
        <v>630</v>
      </c>
      <c r="D11" s="757" t="s">
        <v>441</v>
      </c>
      <c r="E11" s="161">
        <v>796.65</v>
      </c>
      <c r="F11" s="161">
        <v>450</v>
      </c>
      <c r="G11" s="742">
        <v>450</v>
      </c>
      <c r="H11" s="742">
        <v>547</v>
      </c>
      <c r="I11" s="742">
        <v>547</v>
      </c>
      <c r="J11" s="742">
        <v>547</v>
      </c>
      <c r="K11" s="742">
        <v>547</v>
      </c>
      <c r="L11" s="149"/>
      <c r="O11" s="170"/>
    </row>
    <row r="12" spans="1:15" s="121" customFormat="1" ht="12.75">
      <c r="A12" s="462">
        <v>7</v>
      </c>
      <c r="B12" s="741"/>
      <c r="C12" s="490">
        <v>630</v>
      </c>
      <c r="D12" s="489" t="s">
        <v>472</v>
      </c>
      <c r="E12" s="161">
        <v>0</v>
      </c>
      <c r="F12" s="161">
        <v>150</v>
      </c>
      <c r="G12" s="742">
        <v>150</v>
      </c>
      <c r="H12" s="742">
        <v>50</v>
      </c>
      <c r="I12" s="742">
        <v>50</v>
      </c>
      <c r="J12" s="742">
        <v>50</v>
      </c>
      <c r="K12" s="742">
        <v>50</v>
      </c>
      <c r="L12" s="149"/>
      <c r="O12" s="170"/>
    </row>
    <row r="13" spans="1:15" s="121" customFormat="1" ht="12.75">
      <c r="A13" s="462">
        <v>8</v>
      </c>
      <c r="B13" s="741"/>
      <c r="C13" s="490">
        <v>630</v>
      </c>
      <c r="D13" s="489" t="s">
        <v>184</v>
      </c>
      <c r="E13" s="161">
        <v>0</v>
      </c>
      <c r="F13" s="161">
        <v>97.07</v>
      </c>
      <c r="G13" s="742">
        <v>108.85</v>
      </c>
      <c r="H13" s="742">
        <v>100.07</v>
      </c>
      <c r="I13" s="742">
        <v>100.07</v>
      </c>
      <c r="J13" s="742">
        <v>100.07</v>
      </c>
      <c r="K13" s="742">
        <v>100.07</v>
      </c>
      <c r="L13" s="149"/>
      <c r="O13" s="170"/>
    </row>
    <row r="14" spans="1:11" s="121" customFormat="1" ht="12.75">
      <c r="A14" s="462">
        <v>9</v>
      </c>
      <c r="B14" s="741"/>
      <c r="C14" s="490">
        <v>630</v>
      </c>
      <c r="D14" s="489" t="s">
        <v>474</v>
      </c>
      <c r="E14" s="161">
        <v>0</v>
      </c>
      <c r="F14" s="161">
        <v>99.58</v>
      </c>
      <c r="G14" s="742">
        <v>99.58</v>
      </c>
      <c r="H14" s="742">
        <v>99.58</v>
      </c>
      <c r="I14" s="742">
        <v>99.58</v>
      </c>
      <c r="J14" s="742">
        <v>99.58</v>
      </c>
      <c r="K14" s="742">
        <v>99.58</v>
      </c>
    </row>
    <row r="15" spans="1:11" s="121" customFormat="1" ht="12.75">
      <c r="A15" s="462">
        <v>10</v>
      </c>
      <c r="B15" s="483">
        <v>2</v>
      </c>
      <c r="C15" s="484" t="s">
        <v>754</v>
      </c>
      <c r="D15" s="485"/>
      <c r="E15" s="156">
        <f aca="true" t="shared" si="3" ref="E15:K15">E16</f>
        <v>804.68</v>
      </c>
      <c r="F15" s="156">
        <f t="shared" si="3"/>
        <v>803.53</v>
      </c>
      <c r="G15" s="156">
        <f t="shared" si="3"/>
        <v>805</v>
      </c>
      <c r="H15" s="156">
        <f t="shared" si="3"/>
        <v>794.68</v>
      </c>
      <c r="I15" s="156">
        <f t="shared" si="3"/>
        <v>794.68</v>
      </c>
      <c r="J15" s="156">
        <f t="shared" si="3"/>
        <v>794.68</v>
      </c>
      <c r="K15" s="156">
        <f t="shared" si="3"/>
        <v>794.68</v>
      </c>
    </row>
    <row r="16" spans="1:11" s="121" customFormat="1" ht="12.75">
      <c r="A16" s="462">
        <v>11</v>
      </c>
      <c r="B16" s="743" t="s">
        <v>187</v>
      </c>
      <c r="C16" s="729" t="s">
        <v>175</v>
      </c>
      <c r="D16" s="744"/>
      <c r="E16" s="745">
        <f>SUM(E17:E18)</f>
        <v>804.68</v>
      </c>
      <c r="F16" s="745">
        <f aca="true" t="shared" si="4" ref="F16:K16">SUM(F17:F18)</f>
        <v>803.53</v>
      </c>
      <c r="G16" s="745">
        <f t="shared" si="4"/>
        <v>805</v>
      </c>
      <c r="H16" s="745">
        <f t="shared" si="4"/>
        <v>794.68</v>
      </c>
      <c r="I16" s="745">
        <f t="shared" si="4"/>
        <v>794.68</v>
      </c>
      <c r="J16" s="745">
        <f t="shared" si="4"/>
        <v>794.68</v>
      </c>
      <c r="K16" s="745">
        <f t="shared" si="4"/>
        <v>794.68</v>
      </c>
    </row>
    <row r="17" spans="1:11" s="224" customFormat="1" ht="12.75">
      <c r="A17" s="462">
        <v>12</v>
      </c>
      <c r="B17" s="490"/>
      <c r="C17" s="487">
        <v>630</v>
      </c>
      <c r="D17" s="491" t="s">
        <v>224</v>
      </c>
      <c r="E17" s="746">
        <v>658.68</v>
      </c>
      <c r="F17" s="746">
        <v>673.53</v>
      </c>
      <c r="G17" s="747">
        <v>675</v>
      </c>
      <c r="H17" s="747">
        <v>698.28</v>
      </c>
      <c r="I17" s="747">
        <f>'Bežné príjmy'!K81</f>
        <v>698.28</v>
      </c>
      <c r="J17" s="747">
        <f>'Bežné príjmy'!L81</f>
        <v>698.28</v>
      </c>
      <c r="K17" s="747">
        <f>'Bežné príjmy'!M81</f>
        <v>698.28</v>
      </c>
    </row>
    <row r="18" spans="1:11" s="224" customFormat="1" ht="12.75">
      <c r="A18" s="748">
        <v>13</v>
      </c>
      <c r="B18" s="490"/>
      <c r="C18" s="487">
        <v>630</v>
      </c>
      <c r="D18" s="491" t="s">
        <v>254</v>
      </c>
      <c r="E18" s="746">
        <v>146</v>
      </c>
      <c r="F18" s="746">
        <v>130</v>
      </c>
      <c r="G18" s="747">
        <v>130</v>
      </c>
      <c r="H18" s="747">
        <v>96.4</v>
      </c>
      <c r="I18" s="747">
        <f>'Bežné príjmy'!K82</f>
        <v>96.4</v>
      </c>
      <c r="J18" s="747">
        <f>'Bežné príjmy'!L82</f>
        <v>96.4</v>
      </c>
      <c r="K18" s="747">
        <f>'Bežné príjmy'!M82</f>
        <v>96.4</v>
      </c>
    </row>
    <row r="19" spans="1:11" s="121" customFormat="1" ht="12.75">
      <c r="A19" s="470">
        <v>14</v>
      </c>
      <c r="B19" s="457">
        <v>3</v>
      </c>
      <c r="C19" s="478" t="s">
        <v>71</v>
      </c>
      <c r="D19" s="458"/>
      <c r="E19" s="157">
        <f aca="true" t="shared" si="5" ref="E19:K19">E20</f>
        <v>350.38</v>
      </c>
      <c r="F19" s="157">
        <f t="shared" si="5"/>
        <v>690.99</v>
      </c>
      <c r="G19" s="157">
        <f t="shared" si="5"/>
        <v>1020</v>
      </c>
      <c r="H19" s="157">
        <f t="shared" si="5"/>
        <v>9220</v>
      </c>
      <c r="I19" s="157">
        <f t="shared" si="5"/>
        <v>1020</v>
      </c>
      <c r="J19" s="157">
        <f t="shared" si="5"/>
        <v>1020</v>
      </c>
      <c r="K19" s="157">
        <f t="shared" si="5"/>
        <v>1020</v>
      </c>
    </row>
    <row r="20" spans="1:11" s="121" customFormat="1" ht="12.75">
      <c r="A20" s="462">
        <v>15</v>
      </c>
      <c r="B20" s="479" t="s">
        <v>188</v>
      </c>
      <c r="C20" s="729" t="s">
        <v>76</v>
      </c>
      <c r="D20" s="496"/>
      <c r="E20" s="155">
        <f>E21+E22+E23</f>
        <v>350.38</v>
      </c>
      <c r="F20" s="155">
        <f>F21+F22+F23</f>
        <v>690.99</v>
      </c>
      <c r="G20" s="155">
        <f>G21+G22+G23</f>
        <v>1020</v>
      </c>
      <c r="H20" s="155">
        <f>SUM(H21:H24)</f>
        <v>9220</v>
      </c>
      <c r="I20" s="155">
        <f>SUM(I21:I24)</f>
        <v>1020</v>
      </c>
      <c r="J20" s="155">
        <f>SUM(J21:J24)</f>
        <v>1020</v>
      </c>
      <c r="K20" s="155">
        <f>SUM(K21:K24)</f>
        <v>1020</v>
      </c>
    </row>
    <row r="21" spans="1:11" s="121" customFormat="1" ht="12.75">
      <c r="A21" s="462">
        <v>16</v>
      </c>
      <c r="B21" s="730"/>
      <c r="C21" s="488">
        <v>630</v>
      </c>
      <c r="D21" s="491" t="s">
        <v>48</v>
      </c>
      <c r="E21" s="161">
        <v>246.14</v>
      </c>
      <c r="F21" s="161">
        <v>272.98</v>
      </c>
      <c r="G21" s="742">
        <v>600</v>
      </c>
      <c r="H21" s="742">
        <v>600</v>
      </c>
      <c r="I21" s="742">
        <v>600</v>
      </c>
      <c r="J21" s="742">
        <v>600</v>
      </c>
      <c r="K21" s="742">
        <v>600</v>
      </c>
    </row>
    <row r="22" spans="1:11" s="121" customFormat="1" ht="12.75">
      <c r="A22" s="462">
        <v>17</v>
      </c>
      <c r="B22" s="730"/>
      <c r="C22" s="731" t="s">
        <v>218</v>
      </c>
      <c r="D22" s="491" t="s">
        <v>126</v>
      </c>
      <c r="E22" s="161">
        <v>104.24</v>
      </c>
      <c r="F22" s="161">
        <v>140.21</v>
      </c>
      <c r="G22" s="742">
        <v>120</v>
      </c>
      <c r="H22" s="742">
        <v>120</v>
      </c>
      <c r="I22" s="742">
        <v>120</v>
      </c>
      <c r="J22" s="742">
        <v>120</v>
      </c>
      <c r="K22" s="742">
        <v>120</v>
      </c>
    </row>
    <row r="23" spans="1:11" s="121" customFormat="1" ht="24">
      <c r="A23" s="462">
        <v>18</v>
      </c>
      <c r="B23" s="730"/>
      <c r="C23" s="474" t="s">
        <v>218</v>
      </c>
      <c r="D23" s="758" t="s">
        <v>307</v>
      </c>
      <c r="E23" s="161">
        <v>0</v>
      </c>
      <c r="F23" s="161">
        <v>277.8</v>
      </c>
      <c r="G23" s="742">
        <v>300</v>
      </c>
      <c r="H23" s="742">
        <v>300</v>
      </c>
      <c r="I23" s="742">
        <v>300</v>
      </c>
      <c r="J23" s="742">
        <v>300</v>
      </c>
      <c r="K23" s="742">
        <v>300</v>
      </c>
    </row>
    <row r="24" spans="1:11" s="121" customFormat="1" ht="24">
      <c r="A24" s="462">
        <v>19</v>
      </c>
      <c r="B24" s="730"/>
      <c r="C24" s="474" t="s">
        <v>218</v>
      </c>
      <c r="D24" s="499" t="s">
        <v>561</v>
      </c>
      <c r="E24" s="161">
        <v>0</v>
      </c>
      <c r="F24" s="161">
        <v>0</v>
      </c>
      <c r="G24" s="742">
        <v>0</v>
      </c>
      <c r="H24" s="742">
        <v>8200</v>
      </c>
      <c r="I24" s="742">
        <v>0</v>
      </c>
      <c r="J24" s="742">
        <v>0</v>
      </c>
      <c r="K24" s="742">
        <v>0</v>
      </c>
    </row>
    <row r="25" spans="1:11" s="121" customFormat="1" ht="12.75">
      <c r="A25" s="462">
        <v>20</v>
      </c>
      <c r="B25" s="483">
        <v>4</v>
      </c>
      <c r="C25" s="484" t="s">
        <v>355</v>
      </c>
      <c r="D25" s="485"/>
      <c r="E25" s="160">
        <f aca="true" t="shared" si="6" ref="E25:K25">E26</f>
        <v>2470.2</v>
      </c>
      <c r="F25" s="160">
        <f t="shared" si="6"/>
        <v>1064.52</v>
      </c>
      <c r="G25" s="749">
        <f t="shared" si="6"/>
        <v>1800</v>
      </c>
      <c r="H25" s="749">
        <f t="shared" si="6"/>
        <v>3950</v>
      </c>
      <c r="I25" s="749">
        <f t="shared" si="6"/>
        <v>3600</v>
      </c>
      <c r="J25" s="749">
        <f t="shared" si="6"/>
        <v>3800</v>
      </c>
      <c r="K25" s="749">
        <f t="shared" si="6"/>
        <v>3800</v>
      </c>
    </row>
    <row r="26" spans="1:11" s="121" customFormat="1" ht="12.75">
      <c r="A26" s="462">
        <v>21</v>
      </c>
      <c r="B26" s="479" t="s">
        <v>189</v>
      </c>
      <c r="C26" s="729" t="s">
        <v>356</v>
      </c>
      <c r="D26" s="496"/>
      <c r="E26" s="155">
        <f>E27+E28+E29</f>
        <v>2470.2</v>
      </c>
      <c r="F26" s="155">
        <f aca="true" t="shared" si="7" ref="F26:K26">F27+F28+F29</f>
        <v>1064.52</v>
      </c>
      <c r="G26" s="155">
        <f t="shared" si="7"/>
        <v>1800</v>
      </c>
      <c r="H26" s="155">
        <f t="shared" si="7"/>
        <v>3950</v>
      </c>
      <c r="I26" s="155">
        <f t="shared" si="7"/>
        <v>3600</v>
      </c>
      <c r="J26" s="155">
        <f t="shared" si="7"/>
        <v>3800</v>
      </c>
      <c r="K26" s="155">
        <f t="shared" si="7"/>
        <v>3800</v>
      </c>
    </row>
    <row r="27" spans="1:11" s="121" customFormat="1" ht="12.75">
      <c r="A27" s="462">
        <v>22</v>
      </c>
      <c r="B27" s="750"/>
      <c r="C27" s="751" t="s">
        <v>218</v>
      </c>
      <c r="D27" s="502" t="s">
        <v>140</v>
      </c>
      <c r="E27" s="752">
        <v>0</v>
      </c>
      <c r="F27" s="752">
        <v>0</v>
      </c>
      <c r="G27" s="753">
        <v>300</v>
      </c>
      <c r="H27" s="753">
        <v>1200</v>
      </c>
      <c r="I27" s="753">
        <v>800</v>
      </c>
      <c r="J27" s="753">
        <v>1000</v>
      </c>
      <c r="K27" s="753">
        <v>1000</v>
      </c>
    </row>
    <row r="28" spans="1:11" s="121" customFormat="1" ht="12.75">
      <c r="A28" s="462">
        <v>23</v>
      </c>
      <c r="B28" s="750"/>
      <c r="C28" s="751" t="s">
        <v>218</v>
      </c>
      <c r="D28" s="502" t="s">
        <v>682</v>
      </c>
      <c r="E28" s="161">
        <v>275.64</v>
      </c>
      <c r="F28" s="161">
        <v>484.68</v>
      </c>
      <c r="G28" s="742">
        <v>300</v>
      </c>
      <c r="H28" s="742">
        <v>250</v>
      </c>
      <c r="I28" s="742">
        <v>300</v>
      </c>
      <c r="J28" s="742">
        <v>300</v>
      </c>
      <c r="K28" s="742">
        <v>300</v>
      </c>
    </row>
    <row r="29" spans="1:11" s="121" customFormat="1" ht="48.75" thickBot="1">
      <c r="A29" s="734">
        <v>24</v>
      </c>
      <c r="B29" s="754"/>
      <c r="C29" s="507" t="s">
        <v>218</v>
      </c>
      <c r="D29" s="755" t="s">
        <v>683</v>
      </c>
      <c r="E29" s="150">
        <v>2194.56</v>
      </c>
      <c r="F29" s="150">
        <v>579.84</v>
      </c>
      <c r="G29" s="756">
        <v>1200</v>
      </c>
      <c r="H29" s="756">
        <v>2500</v>
      </c>
      <c r="I29" s="756">
        <v>2500</v>
      </c>
      <c r="J29" s="756">
        <v>2500</v>
      </c>
      <c r="K29" s="756">
        <v>2500</v>
      </c>
    </row>
    <row r="30" spans="1:11" s="121" customFormat="1" ht="12.75">
      <c r="A30" s="791"/>
      <c r="B30" s="787"/>
      <c r="C30" s="788"/>
      <c r="D30" s="789"/>
      <c r="E30" s="790"/>
      <c r="F30" s="790"/>
      <c r="G30" s="790"/>
      <c r="H30" s="790"/>
      <c r="I30" s="790"/>
      <c r="J30" s="790"/>
      <c r="K30" s="790"/>
    </row>
    <row r="31" spans="1:11" s="121" customFormat="1" ht="12.75">
      <c r="A31" s="791"/>
      <c r="B31" s="787"/>
      <c r="C31" s="788"/>
      <c r="D31" s="789"/>
      <c r="E31" s="790"/>
      <c r="F31" s="790"/>
      <c r="G31" s="790"/>
      <c r="H31" s="790"/>
      <c r="I31" s="790"/>
      <c r="J31" s="790"/>
      <c r="K31" s="790"/>
    </row>
    <row r="32" spans="1:11" s="121" customFormat="1" ht="12.75">
      <c r="A32" s="791"/>
      <c r="B32" s="787"/>
      <c r="C32" s="788"/>
      <c r="D32" s="789"/>
      <c r="E32" s="790"/>
      <c r="F32" s="790"/>
      <c r="G32" s="790"/>
      <c r="H32" s="790"/>
      <c r="I32" s="790"/>
      <c r="J32" s="790"/>
      <c r="K32" s="790"/>
    </row>
    <row r="33" spans="1:11" s="121" customFormat="1" ht="12.75">
      <c r="A33" s="791"/>
      <c r="B33" s="787"/>
      <c r="C33" s="788"/>
      <c r="D33" s="789"/>
      <c r="E33" s="790"/>
      <c r="F33" s="790"/>
      <c r="G33" s="790"/>
      <c r="H33" s="790"/>
      <c r="I33" s="790"/>
      <c r="J33" s="790"/>
      <c r="K33" s="790"/>
    </row>
    <row r="34" spans="1:11" s="121" customFormat="1" ht="12.75">
      <c r="A34" s="791"/>
      <c r="B34" s="787"/>
      <c r="C34" s="788"/>
      <c r="D34" s="789"/>
      <c r="E34" s="790"/>
      <c r="F34" s="790"/>
      <c r="G34" s="790"/>
      <c r="H34" s="790"/>
      <c r="I34" s="790"/>
      <c r="J34" s="790"/>
      <c r="K34" s="790"/>
    </row>
    <row r="35" spans="1:11" s="121" customFormat="1" ht="12.75">
      <c r="A35" s="791"/>
      <c r="B35" s="787"/>
      <c r="C35" s="788"/>
      <c r="D35" s="789"/>
      <c r="E35" s="790"/>
      <c r="F35" s="790"/>
      <c r="G35" s="790"/>
      <c r="H35" s="790"/>
      <c r="I35" s="790"/>
      <c r="J35" s="790"/>
      <c r="K35" s="790"/>
    </row>
    <row r="36" spans="1:11" s="121" customFormat="1" ht="12.75">
      <c r="A36" s="791"/>
      <c r="B36" s="787"/>
      <c r="C36" s="788"/>
      <c r="D36" s="789"/>
      <c r="E36" s="790"/>
      <c r="F36" s="790"/>
      <c r="G36" s="790"/>
      <c r="H36" s="790"/>
      <c r="I36" s="790"/>
      <c r="J36" s="790"/>
      <c r="K36" s="790"/>
    </row>
    <row r="37" ht="18.75" customHeight="1"/>
    <row r="38" spans="1:2" ht="15" thickBot="1">
      <c r="A38" s="15"/>
      <c r="B38" s="85" t="s">
        <v>223</v>
      </c>
    </row>
    <row r="39" spans="1:11" ht="15.75" thickBot="1">
      <c r="A39" s="1475" t="s">
        <v>9</v>
      </c>
      <c r="B39" s="1476"/>
      <c r="C39" s="1476"/>
      <c r="D39" s="1476"/>
      <c r="E39" s="123" t="s">
        <v>262</v>
      </c>
      <c r="F39" s="123" t="s">
        <v>262</v>
      </c>
      <c r="G39" s="51" t="s">
        <v>263</v>
      </c>
      <c r="H39" s="51" t="s">
        <v>216</v>
      </c>
      <c r="I39" s="139" t="s">
        <v>12</v>
      </c>
      <c r="J39" s="128" t="s">
        <v>12</v>
      </c>
      <c r="K39" s="127" t="s">
        <v>12</v>
      </c>
    </row>
    <row r="40" spans="1:11" ht="12.75">
      <c r="A40" s="54"/>
      <c r="B40" s="55"/>
      <c r="C40" s="56"/>
      <c r="D40" s="97"/>
      <c r="E40" s="80"/>
      <c r="F40" s="80"/>
      <c r="G40" s="125" t="s">
        <v>215</v>
      </c>
      <c r="H40" s="125" t="s">
        <v>217</v>
      </c>
      <c r="I40" s="140"/>
      <c r="J40" s="184" t="s">
        <v>320</v>
      </c>
      <c r="K40" s="184" t="s">
        <v>320</v>
      </c>
    </row>
    <row r="41" spans="1:11" ht="15.75">
      <c r="A41" s="1466" t="s">
        <v>467</v>
      </c>
      <c r="B41" s="1468" t="s">
        <v>468</v>
      </c>
      <c r="C41" s="1468" t="s">
        <v>469</v>
      </c>
      <c r="D41" s="1470" t="s">
        <v>5</v>
      </c>
      <c r="E41" s="124" t="s">
        <v>272</v>
      </c>
      <c r="F41" s="124" t="s">
        <v>284</v>
      </c>
      <c r="G41" s="126">
        <v>2023</v>
      </c>
      <c r="H41" s="82" t="s">
        <v>332</v>
      </c>
      <c r="I41" s="141">
        <v>2024</v>
      </c>
      <c r="J41" s="130" t="s">
        <v>421</v>
      </c>
      <c r="K41" s="129">
        <v>2026</v>
      </c>
    </row>
    <row r="42" spans="1:11" ht="13.5" thickBot="1">
      <c r="A42" s="1467"/>
      <c r="B42" s="1469"/>
      <c r="C42" s="1469"/>
      <c r="D42" s="1471"/>
      <c r="E42" s="83" t="s">
        <v>207</v>
      </c>
      <c r="F42" s="83" t="s">
        <v>207</v>
      </c>
      <c r="G42" s="84" t="s">
        <v>207</v>
      </c>
      <c r="H42" s="84" t="s">
        <v>207</v>
      </c>
      <c r="I42" s="142" t="s">
        <v>207</v>
      </c>
      <c r="J42" s="132" t="s">
        <v>207</v>
      </c>
      <c r="K42" s="131" t="s">
        <v>207</v>
      </c>
    </row>
    <row r="43" spans="1:11" ht="14.25" thickBot="1" thickTop="1">
      <c r="A43" s="759">
        <v>1</v>
      </c>
      <c r="B43" s="459" t="s">
        <v>101</v>
      </c>
      <c r="C43" s="738"/>
      <c r="D43" s="760"/>
      <c r="E43" s="761">
        <f>E44+E48</f>
        <v>24661.5</v>
      </c>
      <c r="F43" s="761">
        <f>F44+F48</f>
        <v>0</v>
      </c>
      <c r="G43" s="761">
        <f>G48+G52+G55+G61</f>
        <v>0</v>
      </c>
      <c r="H43" s="762">
        <f>H44+H48</f>
        <v>2400</v>
      </c>
      <c r="I43" s="762">
        <f>I44+I48</f>
        <v>18000</v>
      </c>
      <c r="J43" s="762">
        <f>J44+J48</f>
        <v>0</v>
      </c>
      <c r="K43" s="762">
        <f>K44+K48</f>
        <v>0</v>
      </c>
    </row>
    <row r="44" spans="1:11" ht="13.5" thickTop="1">
      <c r="A44" s="759">
        <v>2</v>
      </c>
      <c r="B44" s="763">
        <v>3</v>
      </c>
      <c r="C44" s="764" t="s">
        <v>71</v>
      </c>
      <c r="D44" s="765"/>
      <c r="E44" s="766">
        <f aca="true" t="shared" si="8" ref="E44:K44">E45</f>
        <v>1099.5</v>
      </c>
      <c r="F44" s="766">
        <f t="shared" si="8"/>
        <v>0</v>
      </c>
      <c r="G44" s="766">
        <f t="shared" si="8"/>
        <v>0</v>
      </c>
      <c r="H44" s="766">
        <f t="shared" si="8"/>
        <v>2400</v>
      </c>
      <c r="I44" s="766">
        <f t="shared" si="8"/>
        <v>18000</v>
      </c>
      <c r="J44" s="766">
        <f t="shared" si="8"/>
        <v>0</v>
      </c>
      <c r="K44" s="766">
        <f t="shared" si="8"/>
        <v>0</v>
      </c>
    </row>
    <row r="45" spans="1:11" ht="12.75">
      <c r="A45" s="759">
        <v>3</v>
      </c>
      <c r="B45" s="767" t="s">
        <v>188</v>
      </c>
      <c r="C45" s="768" t="s">
        <v>76</v>
      </c>
      <c r="D45" s="769"/>
      <c r="E45" s="770">
        <f>E46</f>
        <v>1099.5</v>
      </c>
      <c r="F45" s="770">
        <f>F46</f>
        <v>0</v>
      </c>
      <c r="G45" s="770">
        <f>G46+G48+G49+G50</f>
        <v>0</v>
      </c>
      <c r="H45" s="770">
        <f>H46</f>
        <v>2400</v>
      </c>
      <c r="I45" s="770">
        <f>SUM(I46:I47)</f>
        <v>18000</v>
      </c>
      <c r="J45" s="770">
        <f>SUM(J46:J47)</f>
        <v>0</v>
      </c>
      <c r="K45" s="770">
        <f>SUM(K46:K47)</f>
        <v>0</v>
      </c>
    </row>
    <row r="46" spans="1:11" s="121" customFormat="1" ht="24">
      <c r="A46" s="456">
        <v>4</v>
      </c>
      <c r="B46" s="730"/>
      <c r="C46" s="488">
        <v>700</v>
      </c>
      <c r="D46" s="499" t="s">
        <v>684</v>
      </c>
      <c r="E46" s="161">
        <v>1099.5</v>
      </c>
      <c r="F46" s="161">
        <v>0</v>
      </c>
      <c r="G46" s="161">
        <v>0</v>
      </c>
      <c r="H46" s="742">
        <v>2400</v>
      </c>
      <c r="I46" s="742">
        <v>0</v>
      </c>
      <c r="J46" s="742">
        <v>0</v>
      </c>
      <c r="K46" s="742">
        <v>0</v>
      </c>
    </row>
    <row r="47" spans="1:12" s="121" customFormat="1" ht="12.75">
      <c r="A47" s="456">
        <v>5</v>
      </c>
      <c r="B47" s="730"/>
      <c r="C47" s="771">
        <v>700</v>
      </c>
      <c r="D47" s="772" t="s">
        <v>590</v>
      </c>
      <c r="E47" s="161">
        <v>0</v>
      </c>
      <c r="F47" s="161">
        <v>0</v>
      </c>
      <c r="G47" s="161">
        <v>0</v>
      </c>
      <c r="H47" s="742">
        <v>0</v>
      </c>
      <c r="I47" s="773">
        <v>18000</v>
      </c>
      <c r="J47" s="742">
        <v>0</v>
      </c>
      <c r="K47" s="742">
        <v>0</v>
      </c>
      <c r="L47" s="178" t="s">
        <v>699</v>
      </c>
    </row>
    <row r="48" spans="1:11" ht="12.75">
      <c r="A48" s="774">
        <v>6</v>
      </c>
      <c r="B48" s="775">
        <v>4</v>
      </c>
      <c r="C48" s="776" t="s">
        <v>72</v>
      </c>
      <c r="D48" s="777"/>
      <c r="E48" s="778">
        <f aca="true" t="shared" si="9" ref="E48:K49">E49</f>
        <v>23562</v>
      </c>
      <c r="F48" s="778">
        <f t="shared" si="9"/>
        <v>0</v>
      </c>
      <c r="G48" s="778">
        <f t="shared" si="9"/>
        <v>0</v>
      </c>
      <c r="H48" s="779">
        <f t="shared" si="9"/>
        <v>0</v>
      </c>
      <c r="I48" s="779">
        <f t="shared" si="9"/>
        <v>0</v>
      </c>
      <c r="J48" s="779">
        <f t="shared" si="9"/>
        <v>0</v>
      </c>
      <c r="K48" s="779">
        <f t="shared" si="9"/>
        <v>0</v>
      </c>
    </row>
    <row r="49" spans="1:11" ht="12.75">
      <c r="A49" s="774">
        <v>7</v>
      </c>
      <c r="B49" s="767" t="s">
        <v>189</v>
      </c>
      <c r="C49" s="768" t="s">
        <v>160</v>
      </c>
      <c r="D49" s="769"/>
      <c r="E49" s="770">
        <f t="shared" si="9"/>
        <v>23562</v>
      </c>
      <c r="F49" s="770">
        <f t="shared" si="9"/>
        <v>0</v>
      </c>
      <c r="G49" s="770">
        <f t="shared" si="9"/>
        <v>0</v>
      </c>
      <c r="H49" s="780">
        <f t="shared" si="9"/>
        <v>0</v>
      </c>
      <c r="I49" s="780">
        <f t="shared" si="9"/>
        <v>0</v>
      </c>
      <c r="J49" s="780">
        <f t="shared" si="9"/>
        <v>0</v>
      </c>
      <c r="K49" s="780">
        <f t="shared" si="9"/>
        <v>0</v>
      </c>
    </row>
    <row r="50" spans="1:11" ht="13.5" thickBot="1">
      <c r="A50" s="781" t="s">
        <v>591</v>
      </c>
      <c r="B50" s="782"/>
      <c r="C50" s="783" t="s">
        <v>222</v>
      </c>
      <c r="D50" s="784" t="s">
        <v>247</v>
      </c>
      <c r="E50" s="785">
        <v>23562</v>
      </c>
      <c r="F50" s="785">
        <v>0</v>
      </c>
      <c r="G50" s="785">
        <v>0</v>
      </c>
      <c r="H50" s="786">
        <v>0</v>
      </c>
      <c r="I50" s="786">
        <v>0</v>
      </c>
      <c r="J50" s="786">
        <v>0</v>
      </c>
      <c r="K50" s="786">
        <v>0</v>
      </c>
    </row>
    <row r="52" spans="9:12" ht="12.75">
      <c r="I52" s="30"/>
      <c r="J52" s="30"/>
      <c r="K52" s="30"/>
      <c r="L52" s="30"/>
    </row>
    <row r="53" spans="9:12" ht="12.75">
      <c r="I53" s="30"/>
      <c r="J53" s="30"/>
      <c r="K53" s="30"/>
      <c r="L53" s="30"/>
    </row>
    <row r="65" spans="2:4" s="35" customFormat="1" ht="9.75">
      <c r="B65" s="29"/>
      <c r="D65" s="62"/>
    </row>
    <row r="66" spans="1:4" s="35" customFormat="1" ht="9.75">
      <c r="A66" s="29"/>
      <c r="B66" s="63"/>
      <c r="D66" s="62"/>
    </row>
    <row r="67" spans="1:4" s="35" customFormat="1" ht="9.75">
      <c r="A67" s="29"/>
      <c r="B67" s="63"/>
      <c r="D67" s="62"/>
    </row>
    <row r="68" spans="1:2" s="35" customFormat="1" ht="9.75">
      <c r="A68" s="29"/>
      <c r="B68" s="60"/>
    </row>
    <row r="69" spans="1:2" s="35" customFormat="1" ht="9.75">
      <c r="A69" s="29"/>
      <c r="B69" s="60"/>
    </row>
    <row r="70" spans="1:2" s="35" customFormat="1" ht="9.75">
      <c r="A70" s="29"/>
      <c r="B70" s="60"/>
    </row>
    <row r="71" spans="1:2" s="35" customFormat="1" ht="9.75">
      <c r="A71" s="29"/>
      <c r="B71" s="59"/>
    </row>
    <row r="72" spans="1:2" s="35" customFormat="1" ht="9.75">
      <c r="A72" s="29"/>
      <c r="B72" s="59"/>
    </row>
    <row r="73" spans="1:2" s="35" customFormat="1" ht="9.75">
      <c r="A73" s="29"/>
      <c r="B73" s="60"/>
    </row>
  </sheetData>
  <sheetProtection/>
  <mergeCells count="10">
    <mergeCell ref="A41:A42"/>
    <mergeCell ref="B41:B42"/>
    <mergeCell ref="C41:C42"/>
    <mergeCell ref="D41:D42"/>
    <mergeCell ref="A39:D39"/>
    <mergeCell ref="A2:D2"/>
    <mergeCell ref="A4:A5"/>
    <mergeCell ref="B4:B5"/>
    <mergeCell ref="C4:C5"/>
    <mergeCell ref="D4:D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R26" sqref="R26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4.8515625" style="0" customWidth="1"/>
    <col min="4" max="4" width="27.57421875" style="0" customWidth="1"/>
    <col min="5" max="6" width="10.28125" style="0" bestFit="1" customWidth="1"/>
    <col min="7" max="7" width="9.421875" style="0" bestFit="1" customWidth="1"/>
    <col min="8" max="8" width="10.28125" style="0" bestFit="1" customWidth="1"/>
    <col min="9" max="11" width="9.421875" style="0" bestFit="1" customWidth="1"/>
    <col min="13" max="13" width="8.421875" style="0" bestFit="1" customWidth="1"/>
    <col min="15" max="15" width="9.140625" style="180" customWidth="1"/>
  </cols>
  <sheetData>
    <row r="1" spans="1:13" ht="15" thickBot="1">
      <c r="A1" s="15"/>
      <c r="B1" s="85" t="s">
        <v>225</v>
      </c>
      <c r="G1" s="30"/>
      <c r="I1" s="22"/>
      <c r="J1" s="22"/>
      <c r="K1" s="22"/>
      <c r="L1" s="22"/>
      <c r="M1" s="22"/>
    </row>
    <row r="2" spans="1:13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  <c r="L2" s="22"/>
      <c r="M2" s="139" t="s">
        <v>413</v>
      </c>
    </row>
    <row r="3" spans="1:13" ht="12.75">
      <c r="A3" s="25"/>
      <c r="B3" s="26"/>
      <c r="C3" s="27"/>
      <c r="D3" s="151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  <c r="L3" s="22"/>
      <c r="M3" s="140" t="s">
        <v>414</v>
      </c>
    </row>
    <row r="4" spans="1:13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  <c r="L4" s="22"/>
      <c r="M4" s="141">
        <v>2024</v>
      </c>
    </row>
    <row r="5" spans="1:13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  <c r="L5" s="22"/>
      <c r="M5" s="142" t="s">
        <v>207</v>
      </c>
    </row>
    <row r="6" spans="1:13" ht="14.25" thickBot="1" thickTop="1">
      <c r="A6" s="792">
        <v>1</v>
      </c>
      <c r="B6" s="793" t="s">
        <v>226</v>
      </c>
      <c r="C6" s="794"/>
      <c r="D6" s="795"/>
      <c r="E6" s="796">
        <f aca="true" t="shared" si="0" ref="E6:K6">E7+E39+E42</f>
        <v>57516.82</v>
      </c>
      <c r="F6" s="796">
        <f t="shared" si="0"/>
        <v>14049.260000000002</v>
      </c>
      <c r="G6" s="796">
        <f t="shared" si="0"/>
        <v>22381.69</v>
      </c>
      <c r="H6" s="796">
        <f t="shared" si="0"/>
        <v>22502.15</v>
      </c>
      <c r="I6" s="796">
        <f t="shared" si="0"/>
        <v>21523.32</v>
      </c>
      <c r="J6" s="796">
        <f t="shared" si="0"/>
        <v>19102.32</v>
      </c>
      <c r="K6" s="796">
        <f t="shared" si="0"/>
        <v>18312.32</v>
      </c>
      <c r="L6" s="22"/>
      <c r="M6" s="101">
        <f>M7+M39+M42</f>
        <v>10831</v>
      </c>
    </row>
    <row r="7" spans="1:13" ht="13.5" thickTop="1">
      <c r="A7" s="792">
        <v>2</v>
      </c>
      <c r="B7" s="797">
        <v>1</v>
      </c>
      <c r="C7" s="798" t="s">
        <v>67</v>
      </c>
      <c r="D7" s="799"/>
      <c r="E7" s="800">
        <f aca="true" t="shared" si="1" ref="E7:K7">E8</f>
        <v>10586.29</v>
      </c>
      <c r="F7" s="800">
        <f t="shared" si="1"/>
        <v>14049.260000000002</v>
      </c>
      <c r="G7" s="800">
        <f t="shared" si="1"/>
        <v>21881.69</v>
      </c>
      <c r="H7" s="800">
        <f t="shared" si="1"/>
        <v>22402.15</v>
      </c>
      <c r="I7" s="800">
        <f t="shared" si="1"/>
        <v>21423.32</v>
      </c>
      <c r="J7" s="800">
        <f t="shared" si="1"/>
        <v>19002.32</v>
      </c>
      <c r="K7" s="800">
        <f t="shared" si="1"/>
        <v>18212.32</v>
      </c>
      <c r="L7" s="22"/>
      <c r="M7" s="99">
        <f>M8</f>
        <v>10831</v>
      </c>
    </row>
    <row r="8" spans="1:15" ht="12.75">
      <c r="A8" s="792">
        <v>3</v>
      </c>
      <c r="B8" s="801" t="s">
        <v>190</v>
      </c>
      <c r="C8" s="802" t="s">
        <v>67</v>
      </c>
      <c r="D8" s="803"/>
      <c r="E8" s="155">
        <f aca="true" t="shared" si="2" ref="E8:K8">SUM(E9:E38)</f>
        <v>10586.29</v>
      </c>
      <c r="F8" s="155">
        <f t="shared" si="2"/>
        <v>14049.260000000002</v>
      </c>
      <c r="G8" s="155">
        <f t="shared" si="2"/>
        <v>21881.69</v>
      </c>
      <c r="H8" s="155">
        <f t="shared" si="2"/>
        <v>22402.15</v>
      </c>
      <c r="I8" s="155">
        <f t="shared" si="2"/>
        <v>21423.32</v>
      </c>
      <c r="J8" s="155">
        <f t="shared" si="2"/>
        <v>19002.32</v>
      </c>
      <c r="K8" s="155">
        <f t="shared" si="2"/>
        <v>18212.32</v>
      </c>
      <c r="L8" s="22"/>
      <c r="M8" s="88">
        <f>SUM(M9:M39)</f>
        <v>10831</v>
      </c>
      <c r="O8" s="181"/>
    </row>
    <row r="9" spans="1:16" ht="12.75">
      <c r="A9" s="792">
        <v>4</v>
      </c>
      <c r="B9" s="804"/>
      <c r="C9" s="805">
        <v>630</v>
      </c>
      <c r="D9" s="806" t="s">
        <v>491</v>
      </c>
      <c r="E9" s="752">
        <v>1374.32</v>
      </c>
      <c r="F9" s="752">
        <v>1696.48</v>
      </c>
      <c r="G9" s="161">
        <v>4028</v>
      </c>
      <c r="H9" s="752">
        <v>2900</v>
      </c>
      <c r="I9" s="161">
        <v>2900</v>
      </c>
      <c r="J9" s="161">
        <v>2900</v>
      </c>
      <c r="K9" s="161">
        <v>2900</v>
      </c>
      <c r="L9" s="22"/>
      <c r="M9" s="93">
        <v>0</v>
      </c>
      <c r="N9" s="354"/>
      <c r="P9" s="28"/>
    </row>
    <row r="10" spans="1:16" ht="12.75">
      <c r="A10" s="792">
        <v>5</v>
      </c>
      <c r="B10" s="804"/>
      <c r="C10" s="805">
        <v>630</v>
      </c>
      <c r="D10" s="806" t="s">
        <v>490</v>
      </c>
      <c r="E10" s="752">
        <v>0</v>
      </c>
      <c r="F10" s="752">
        <v>0</v>
      </c>
      <c r="G10" s="161">
        <v>6000</v>
      </c>
      <c r="H10" s="752">
        <v>7439</v>
      </c>
      <c r="I10" s="161">
        <v>7440</v>
      </c>
      <c r="J10" s="161">
        <v>7440</v>
      </c>
      <c r="K10" s="161">
        <v>7440</v>
      </c>
      <c r="L10" s="22"/>
      <c r="M10" s="93">
        <v>0</v>
      </c>
      <c r="N10" s="152"/>
      <c r="P10" s="28"/>
    </row>
    <row r="11" spans="1:14" ht="12.75">
      <c r="A11" s="792">
        <v>6</v>
      </c>
      <c r="B11" s="804"/>
      <c r="C11" s="805">
        <v>630</v>
      </c>
      <c r="D11" s="806" t="s">
        <v>126</v>
      </c>
      <c r="E11" s="752">
        <v>26.76</v>
      </c>
      <c r="F11" s="752">
        <v>28.52</v>
      </c>
      <c r="G11" s="161">
        <v>100</v>
      </c>
      <c r="H11" s="752">
        <v>100</v>
      </c>
      <c r="I11" s="161">
        <v>100</v>
      </c>
      <c r="J11" s="161">
        <v>100</v>
      </c>
      <c r="K11" s="161">
        <v>100</v>
      </c>
      <c r="L11" s="22"/>
      <c r="M11" s="93">
        <v>0</v>
      </c>
      <c r="N11" s="152"/>
    </row>
    <row r="12" spans="1:13" ht="12.75">
      <c r="A12" s="792">
        <v>7</v>
      </c>
      <c r="B12" s="804"/>
      <c r="C12" s="805">
        <v>630</v>
      </c>
      <c r="D12" s="806" t="s">
        <v>227</v>
      </c>
      <c r="E12" s="752">
        <v>0</v>
      </c>
      <c r="F12" s="752">
        <v>964.42</v>
      </c>
      <c r="G12" s="752">
        <v>0</v>
      </c>
      <c r="H12" s="752">
        <v>0</v>
      </c>
      <c r="I12" s="752">
        <v>0</v>
      </c>
      <c r="J12" s="752">
        <v>0</v>
      </c>
      <c r="K12" s="752">
        <v>0</v>
      </c>
      <c r="L12" s="22"/>
      <c r="M12" s="98">
        <v>0</v>
      </c>
    </row>
    <row r="13" spans="1:13" ht="12.75">
      <c r="A13" s="792">
        <v>8</v>
      </c>
      <c r="B13" s="804"/>
      <c r="C13" s="805">
        <v>630</v>
      </c>
      <c r="D13" s="806" t="s">
        <v>592</v>
      </c>
      <c r="E13" s="752">
        <v>42.48</v>
      </c>
      <c r="F13" s="752">
        <v>1168.59</v>
      </c>
      <c r="G13" s="161">
        <v>300</v>
      </c>
      <c r="H13" s="752">
        <v>300</v>
      </c>
      <c r="I13" s="161">
        <v>300</v>
      </c>
      <c r="J13" s="161">
        <v>0</v>
      </c>
      <c r="K13" s="161">
        <v>0</v>
      </c>
      <c r="L13" s="22"/>
      <c r="M13" s="93">
        <v>300</v>
      </c>
    </row>
    <row r="14" spans="1:13" ht="12.75">
      <c r="A14" s="792">
        <v>9</v>
      </c>
      <c r="B14" s="804"/>
      <c r="C14" s="805">
        <v>630</v>
      </c>
      <c r="D14" s="806" t="s">
        <v>488</v>
      </c>
      <c r="E14" s="752">
        <v>0</v>
      </c>
      <c r="F14" s="752">
        <v>96.78</v>
      </c>
      <c r="G14" s="161">
        <v>0</v>
      </c>
      <c r="H14" s="752">
        <v>0</v>
      </c>
      <c r="I14" s="161">
        <v>0</v>
      </c>
      <c r="J14" s="161">
        <v>0</v>
      </c>
      <c r="K14" s="161">
        <v>0</v>
      </c>
      <c r="L14" s="22"/>
      <c r="M14" s="93">
        <v>0</v>
      </c>
    </row>
    <row r="15" spans="1:16" ht="24">
      <c r="A15" s="792">
        <v>10</v>
      </c>
      <c r="B15" s="807"/>
      <c r="C15" s="808">
        <v>630</v>
      </c>
      <c r="D15" s="809" t="s">
        <v>296</v>
      </c>
      <c r="E15" s="810">
        <v>3229.49</v>
      </c>
      <c r="F15" s="810">
        <v>3250.8</v>
      </c>
      <c r="G15" s="810">
        <v>3250</v>
      </c>
      <c r="H15" s="810">
        <v>3210</v>
      </c>
      <c r="I15" s="810">
        <v>3230</v>
      </c>
      <c r="J15" s="810">
        <v>3230</v>
      </c>
      <c r="K15" s="810">
        <v>3230</v>
      </c>
      <c r="L15" s="22"/>
      <c r="M15" s="189">
        <v>3230</v>
      </c>
      <c r="P15" s="178"/>
    </row>
    <row r="16" spans="1:16" ht="24">
      <c r="A16" s="792">
        <v>11</v>
      </c>
      <c r="B16" s="811"/>
      <c r="C16" s="812">
        <v>630</v>
      </c>
      <c r="D16" s="813" t="s">
        <v>562</v>
      </c>
      <c r="E16" s="161">
        <v>0</v>
      </c>
      <c r="F16" s="161">
        <v>0</v>
      </c>
      <c r="G16" s="161">
        <v>0</v>
      </c>
      <c r="H16" s="161">
        <v>500</v>
      </c>
      <c r="I16" s="161">
        <v>0</v>
      </c>
      <c r="J16" s="161">
        <v>0</v>
      </c>
      <c r="K16" s="161">
        <v>0</v>
      </c>
      <c r="L16" s="380"/>
      <c r="M16" s="93"/>
      <c r="P16" s="178"/>
    </row>
    <row r="17" spans="1:13" ht="12.75">
      <c r="A17" s="792">
        <v>12</v>
      </c>
      <c r="B17" s="811"/>
      <c r="C17" s="812">
        <v>630</v>
      </c>
      <c r="D17" s="747" t="s">
        <v>274</v>
      </c>
      <c r="E17" s="161">
        <v>593.3</v>
      </c>
      <c r="F17" s="161">
        <v>600</v>
      </c>
      <c r="G17" s="161">
        <v>660</v>
      </c>
      <c r="H17" s="161">
        <v>660</v>
      </c>
      <c r="I17" s="161">
        <v>660</v>
      </c>
      <c r="J17" s="161">
        <v>660</v>
      </c>
      <c r="K17" s="161">
        <v>660</v>
      </c>
      <c r="L17" s="22"/>
      <c r="M17" s="93">
        <v>0</v>
      </c>
    </row>
    <row r="18" spans="1:13" ht="12.75">
      <c r="A18" s="792">
        <v>13</v>
      </c>
      <c r="B18" s="811"/>
      <c r="C18" s="812">
        <v>620</v>
      </c>
      <c r="D18" s="747" t="s">
        <v>275</v>
      </c>
      <c r="E18" s="161">
        <v>199.18</v>
      </c>
      <c r="F18" s="161">
        <v>209.64</v>
      </c>
      <c r="G18" s="161">
        <f>G17*0.352</f>
        <v>232.32</v>
      </c>
      <c r="H18" s="161">
        <v>232.32</v>
      </c>
      <c r="I18" s="161">
        <f>I17*0.352</f>
        <v>232.32</v>
      </c>
      <c r="J18" s="161">
        <v>232.32</v>
      </c>
      <c r="K18" s="161">
        <v>232.32</v>
      </c>
      <c r="L18" s="22"/>
      <c r="M18" s="93">
        <v>0</v>
      </c>
    </row>
    <row r="19" spans="1:15" ht="12.75">
      <c r="A19" s="792">
        <v>14</v>
      </c>
      <c r="B19" s="804"/>
      <c r="C19" s="805">
        <v>630</v>
      </c>
      <c r="D19" s="806" t="s">
        <v>84</v>
      </c>
      <c r="E19" s="752">
        <v>1065.29</v>
      </c>
      <c r="F19" s="752">
        <v>1750.24</v>
      </c>
      <c r="G19" s="161">
        <v>1500</v>
      </c>
      <c r="H19" s="752">
        <v>1500</v>
      </c>
      <c r="I19" s="161">
        <v>1500</v>
      </c>
      <c r="J19" s="161">
        <v>1500</v>
      </c>
      <c r="K19" s="161">
        <v>1500</v>
      </c>
      <c r="L19" s="22"/>
      <c r="M19" s="93">
        <v>1600</v>
      </c>
      <c r="O19" s="149"/>
    </row>
    <row r="20" spans="1:13" ht="24">
      <c r="A20" s="792">
        <v>15</v>
      </c>
      <c r="B20" s="811"/>
      <c r="C20" s="812">
        <v>630</v>
      </c>
      <c r="D20" s="813" t="s">
        <v>593</v>
      </c>
      <c r="E20" s="752">
        <v>85.54</v>
      </c>
      <c r="F20" s="752">
        <v>641.09</v>
      </c>
      <c r="G20" s="161">
        <v>700</v>
      </c>
      <c r="H20" s="752">
        <v>700</v>
      </c>
      <c r="I20" s="161">
        <v>600</v>
      </c>
      <c r="J20" s="161">
        <v>600</v>
      </c>
      <c r="K20" s="161">
        <v>600</v>
      </c>
      <c r="L20" s="22"/>
      <c r="M20" s="93">
        <v>600</v>
      </c>
    </row>
    <row r="21" spans="1:15" ht="24">
      <c r="A21" s="792">
        <v>16</v>
      </c>
      <c r="B21" s="811"/>
      <c r="C21" s="812">
        <v>630</v>
      </c>
      <c r="D21" s="843" t="s">
        <v>563</v>
      </c>
      <c r="E21" s="752">
        <v>386.38</v>
      </c>
      <c r="F21" s="752">
        <v>423.3</v>
      </c>
      <c r="G21" s="161">
        <v>550</v>
      </c>
      <c r="H21" s="752">
        <v>350</v>
      </c>
      <c r="I21" s="161">
        <v>0</v>
      </c>
      <c r="J21" s="161">
        <v>0</v>
      </c>
      <c r="K21" s="161">
        <v>0</v>
      </c>
      <c r="L21" s="22"/>
      <c r="M21" s="389">
        <v>350</v>
      </c>
      <c r="N21" s="1477" t="s">
        <v>617</v>
      </c>
      <c r="O21" s="1478"/>
    </row>
    <row r="22" spans="1:15" ht="12.75">
      <c r="A22" s="792">
        <v>17</v>
      </c>
      <c r="B22" s="811"/>
      <c r="C22" s="812">
        <v>630</v>
      </c>
      <c r="D22" s="806" t="s">
        <v>564</v>
      </c>
      <c r="E22" s="752">
        <v>0</v>
      </c>
      <c r="F22" s="752">
        <v>0</v>
      </c>
      <c r="G22" s="161">
        <v>250</v>
      </c>
      <c r="H22" s="752">
        <v>200</v>
      </c>
      <c r="I22" s="161">
        <v>0</v>
      </c>
      <c r="J22" s="161">
        <v>0</v>
      </c>
      <c r="K22" s="161">
        <v>0</v>
      </c>
      <c r="L22" s="22"/>
      <c r="M22" s="389">
        <v>200</v>
      </c>
      <c r="N22" s="1479"/>
      <c r="O22" s="1480"/>
    </row>
    <row r="23" spans="1:14" ht="12.75">
      <c r="A23" s="792">
        <v>18</v>
      </c>
      <c r="B23" s="811"/>
      <c r="C23" s="812">
        <v>640</v>
      </c>
      <c r="D23" s="806" t="s">
        <v>261</v>
      </c>
      <c r="E23" s="752">
        <v>0</v>
      </c>
      <c r="F23" s="752">
        <v>0</v>
      </c>
      <c r="G23" s="161">
        <v>0</v>
      </c>
      <c r="H23" s="752">
        <v>0</v>
      </c>
      <c r="I23" s="161">
        <v>0</v>
      </c>
      <c r="J23" s="752">
        <v>0</v>
      </c>
      <c r="K23" s="752">
        <v>0</v>
      </c>
      <c r="L23" s="22"/>
      <c r="M23" s="93">
        <v>0</v>
      </c>
      <c r="N23" s="3"/>
    </row>
    <row r="24" spans="1:15" ht="12.75" customHeight="1">
      <c r="A24" s="792">
        <v>19</v>
      </c>
      <c r="B24" s="811"/>
      <c r="C24" s="812">
        <v>630</v>
      </c>
      <c r="D24" s="806" t="s">
        <v>121</v>
      </c>
      <c r="E24" s="752">
        <v>411.37</v>
      </c>
      <c r="F24" s="752">
        <v>411.37</v>
      </c>
      <c r="G24" s="161">
        <v>411.37</v>
      </c>
      <c r="H24" s="752">
        <v>410.83</v>
      </c>
      <c r="I24" s="161">
        <v>0</v>
      </c>
      <c r="J24" s="752">
        <v>0</v>
      </c>
      <c r="K24" s="752">
        <v>0</v>
      </c>
      <c r="L24" s="22"/>
      <c r="M24" s="389">
        <v>412</v>
      </c>
      <c r="N24" s="1483" t="s">
        <v>617</v>
      </c>
      <c r="O24" s="1484"/>
    </row>
    <row r="25" spans="1:13" ht="12.75">
      <c r="A25" s="792">
        <v>20</v>
      </c>
      <c r="B25" s="814"/>
      <c r="C25" s="812">
        <v>630</v>
      </c>
      <c r="D25" s="815" t="s">
        <v>183</v>
      </c>
      <c r="E25" s="752">
        <v>180</v>
      </c>
      <c r="F25" s="752">
        <v>240</v>
      </c>
      <c r="G25" s="161">
        <v>500</v>
      </c>
      <c r="H25" s="752">
        <v>500</v>
      </c>
      <c r="I25" s="161">
        <v>500</v>
      </c>
      <c r="J25" s="752">
        <v>500</v>
      </c>
      <c r="K25" s="752">
        <v>500</v>
      </c>
      <c r="L25" s="22"/>
      <c r="M25" s="93">
        <v>500</v>
      </c>
    </row>
    <row r="26" spans="1:13" ht="12.75">
      <c r="A26" s="792">
        <v>21</v>
      </c>
      <c r="B26" s="814"/>
      <c r="C26" s="812">
        <v>630</v>
      </c>
      <c r="D26" s="815" t="s">
        <v>423</v>
      </c>
      <c r="E26" s="752">
        <v>876.91</v>
      </c>
      <c r="F26" s="752">
        <v>0</v>
      </c>
      <c r="G26" s="161">
        <v>0</v>
      </c>
      <c r="H26" s="752">
        <v>0</v>
      </c>
      <c r="I26" s="161">
        <v>0</v>
      </c>
      <c r="J26" s="752">
        <v>0</v>
      </c>
      <c r="K26" s="752">
        <v>0</v>
      </c>
      <c r="L26" s="22"/>
      <c r="M26" s="93">
        <v>0</v>
      </c>
    </row>
    <row r="27" spans="1:13" ht="36">
      <c r="A27" s="792">
        <v>22</v>
      </c>
      <c r="B27" s="814"/>
      <c r="C27" s="812">
        <v>630</v>
      </c>
      <c r="D27" s="816" t="s">
        <v>779</v>
      </c>
      <c r="E27" s="752">
        <v>355.6</v>
      </c>
      <c r="F27" s="752">
        <v>197.82</v>
      </c>
      <c r="G27" s="161">
        <v>600</v>
      </c>
      <c r="H27" s="752">
        <v>600</v>
      </c>
      <c r="I27" s="161">
        <v>400</v>
      </c>
      <c r="J27" s="161">
        <v>400</v>
      </c>
      <c r="K27" s="161">
        <v>400</v>
      </c>
      <c r="L27" s="22"/>
      <c r="M27" s="93">
        <v>400</v>
      </c>
    </row>
    <row r="28" spans="1:13" ht="12.75">
      <c r="A28" s="792">
        <v>23</v>
      </c>
      <c r="B28" s="817"/>
      <c r="C28" s="812">
        <v>630</v>
      </c>
      <c r="D28" s="818" t="s">
        <v>459</v>
      </c>
      <c r="E28" s="752">
        <v>125</v>
      </c>
      <c r="F28" s="752">
        <v>941.26</v>
      </c>
      <c r="G28" s="161">
        <v>200</v>
      </c>
      <c r="H28" s="752">
        <v>200</v>
      </c>
      <c r="I28" s="161">
        <v>200</v>
      </c>
      <c r="J28" s="161">
        <v>200</v>
      </c>
      <c r="K28" s="161">
        <v>200</v>
      </c>
      <c r="L28" s="22"/>
      <c r="M28" s="93">
        <v>200</v>
      </c>
    </row>
    <row r="29" spans="1:13" ht="12.75">
      <c r="A29" s="792">
        <v>24</v>
      </c>
      <c r="B29" s="819"/>
      <c r="C29" s="820">
        <v>630</v>
      </c>
      <c r="D29" s="806" t="s">
        <v>211</v>
      </c>
      <c r="E29" s="821">
        <v>149.28</v>
      </c>
      <c r="F29" s="821">
        <v>156.27</v>
      </c>
      <c r="G29" s="148">
        <v>0</v>
      </c>
      <c r="H29" s="821">
        <v>0</v>
      </c>
      <c r="I29" s="148">
        <v>250</v>
      </c>
      <c r="J29" s="148">
        <v>250</v>
      </c>
      <c r="K29" s="148">
        <v>250</v>
      </c>
      <c r="L29" s="22"/>
      <c r="M29" s="90">
        <v>250</v>
      </c>
    </row>
    <row r="30" spans="1:13" ht="24">
      <c r="A30" s="792">
        <v>25</v>
      </c>
      <c r="B30" s="819"/>
      <c r="C30" s="822">
        <v>630</v>
      </c>
      <c r="D30" s="844" t="s">
        <v>482</v>
      </c>
      <c r="E30" s="821">
        <v>0</v>
      </c>
      <c r="F30" s="821">
        <v>117.63</v>
      </c>
      <c r="G30" s="148">
        <v>600</v>
      </c>
      <c r="H30" s="821">
        <v>600</v>
      </c>
      <c r="I30" s="148">
        <v>0</v>
      </c>
      <c r="J30" s="148">
        <v>0</v>
      </c>
      <c r="K30" s="148">
        <v>0</v>
      </c>
      <c r="L30" s="22"/>
      <c r="M30" s="90">
        <v>0</v>
      </c>
    </row>
    <row r="31" spans="1:13" ht="24">
      <c r="A31" s="792">
        <v>26</v>
      </c>
      <c r="B31" s="819"/>
      <c r="C31" s="822">
        <v>630</v>
      </c>
      <c r="D31" s="844" t="s">
        <v>634</v>
      </c>
      <c r="E31" s="821">
        <v>0</v>
      </c>
      <c r="F31" s="821">
        <v>0</v>
      </c>
      <c r="G31" s="148">
        <v>0</v>
      </c>
      <c r="H31" s="821">
        <v>0</v>
      </c>
      <c r="I31" s="148">
        <v>1000</v>
      </c>
      <c r="J31" s="148">
        <v>0</v>
      </c>
      <c r="K31" s="148">
        <v>0</v>
      </c>
      <c r="L31" s="22"/>
      <c r="M31" s="90">
        <v>1000</v>
      </c>
    </row>
    <row r="32" spans="1:13" ht="12.75">
      <c r="A32" s="792">
        <v>27</v>
      </c>
      <c r="B32" s="819"/>
      <c r="C32" s="822">
        <v>630</v>
      </c>
      <c r="D32" s="823" t="s">
        <v>362</v>
      </c>
      <c r="E32" s="821">
        <v>278.01</v>
      </c>
      <c r="F32" s="821">
        <v>0</v>
      </c>
      <c r="G32" s="148">
        <v>0</v>
      </c>
      <c r="H32" s="821">
        <v>0</v>
      </c>
      <c r="I32" s="148">
        <v>300</v>
      </c>
      <c r="J32" s="821">
        <v>0</v>
      </c>
      <c r="K32" s="821">
        <v>0</v>
      </c>
      <c r="L32" s="22"/>
      <c r="M32" s="90">
        <v>300</v>
      </c>
    </row>
    <row r="33" spans="1:13" ht="12.75">
      <c r="A33" s="792">
        <v>28</v>
      </c>
      <c r="B33" s="819"/>
      <c r="C33" s="822">
        <v>630</v>
      </c>
      <c r="D33" s="823" t="s">
        <v>363</v>
      </c>
      <c r="E33" s="821">
        <v>278</v>
      </c>
      <c r="F33" s="821">
        <v>0</v>
      </c>
      <c r="G33" s="148">
        <v>0</v>
      </c>
      <c r="H33" s="821">
        <v>0</v>
      </c>
      <c r="I33" s="148">
        <v>0</v>
      </c>
      <c r="J33" s="821">
        <v>0</v>
      </c>
      <c r="K33" s="821">
        <v>0</v>
      </c>
      <c r="L33" s="22"/>
      <c r="M33" s="90">
        <v>0</v>
      </c>
    </row>
    <row r="34" spans="1:13" ht="12.75">
      <c r="A34" s="792">
        <v>29</v>
      </c>
      <c r="B34" s="819"/>
      <c r="C34" s="822">
        <v>630</v>
      </c>
      <c r="D34" s="823" t="s">
        <v>594</v>
      </c>
      <c r="E34" s="821">
        <v>493.66</v>
      </c>
      <c r="F34" s="821">
        <v>0</v>
      </c>
      <c r="G34" s="148">
        <v>800</v>
      </c>
      <c r="H34" s="821">
        <v>800</v>
      </c>
      <c r="I34" s="148">
        <v>0</v>
      </c>
      <c r="J34" s="821">
        <v>0</v>
      </c>
      <c r="K34" s="821">
        <v>0</v>
      </c>
      <c r="L34" s="22"/>
      <c r="M34" s="90">
        <v>0</v>
      </c>
    </row>
    <row r="35" spans="1:13" ht="12.75">
      <c r="A35" s="792">
        <v>30</v>
      </c>
      <c r="B35" s="819"/>
      <c r="C35" s="822">
        <v>630</v>
      </c>
      <c r="D35" s="823" t="s">
        <v>595</v>
      </c>
      <c r="E35" s="821">
        <v>0</v>
      </c>
      <c r="F35" s="821">
        <v>57.85</v>
      </c>
      <c r="G35" s="148">
        <v>200</v>
      </c>
      <c r="H35" s="821">
        <v>200</v>
      </c>
      <c r="I35" s="148">
        <v>0</v>
      </c>
      <c r="J35" s="821">
        <v>0</v>
      </c>
      <c r="K35" s="821">
        <v>0</v>
      </c>
      <c r="L35" s="22"/>
      <c r="M35" s="90">
        <v>0</v>
      </c>
    </row>
    <row r="36" spans="1:22" ht="24">
      <c r="A36" s="792">
        <v>31</v>
      </c>
      <c r="B36" s="819"/>
      <c r="C36" s="822">
        <v>630</v>
      </c>
      <c r="D36" s="844" t="s">
        <v>364</v>
      </c>
      <c r="E36" s="821">
        <v>435.72</v>
      </c>
      <c r="F36" s="821">
        <v>863.03</v>
      </c>
      <c r="G36" s="148">
        <v>800</v>
      </c>
      <c r="H36" s="821">
        <v>800</v>
      </c>
      <c r="I36" s="148">
        <v>1111</v>
      </c>
      <c r="J36" s="148">
        <v>790</v>
      </c>
      <c r="K36" s="148">
        <v>0</v>
      </c>
      <c r="L36" s="22"/>
      <c r="M36" s="90">
        <v>789</v>
      </c>
      <c r="N36" s="1253" t="s">
        <v>761</v>
      </c>
      <c r="O36" s="1252"/>
      <c r="P36" s="35"/>
      <c r="Q36" s="35"/>
      <c r="R36" s="35"/>
      <c r="S36" s="162"/>
      <c r="T36" s="162"/>
      <c r="U36" s="35"/>
      <c r="V36" s="35"/>
    </row>
    <row r="37" spans="1:13" ht="12.75">
      <c r="A37" s="824">
        <v>32</v>
      </c>
      <c r="B37" s="825"/>
      <c r="C37" s="826">
        <v>630</v>
      </c>
      <c r="D37" s="827" t="s">
        <v>613</v>
      </c>
      <c r="E37" s="752">
        <v>0</v>
      </c>
      <c r="F37" s="752">
        <v>0</v>
      </c>
      <c r="G37" s="161">
        <v>0</v>
      </c>
      <c r="H37" s="752">
        <v>0</v>
      </c>
      <c r="I37" s="161">
        <v>500</v>
      </c>
      <c r="J37" s="161">
        <v>0</v>
      </c>
      <c r="K37" s="161">
        <v>0</v>
      </c>
      <c r="L37" s="22"/>
      <c r="M37" s="353">
        <v>500</v>
      </c>
    </row>
    <row r="38" spans="1:13" ht="48.75" thickBot="1">
      <c r="A38" s="828">
        <v>33</v>
      </c>
      <c r="B38" s="829"/>
      <c r="C38" s="830">
        <v>630</v>
      </c>
      <c r="D38" s="831" t="s">
        <v>417</v>
      </c>
      <c r="E38" s="832">
        <v>0</v>
      </c>
      <c r="F38" s="832">
        <v>234.17</v>
      </c>
      <c r="G38" s="150">
        <v>200</v>
      </c>
      <c r="H38" s="832">
        <v>200</v>
      </c>
      <c r="I38" s="150">
        <v>200</v>
      </c>
      <c r="J38" s="150">
        <v>200</v>
      </c>
      <c r="K38" s="150">
        <v>200</v>
      </c>
      <c r="L38" s="22"/>
      <c r="M38" s="289">
        <v>200</v>
      </c>
    </row>
    <row r="39" spans="1:14" ht="13.5" thickBot="1">
      <c r="A39" s="833">
        <v>34</v>
      </c>
      <c r="B39" s="834" t="s">
        <v>6</v>
      </c>
      <c r="C39" s="835" t="s">
        <v>360</v>
      </c>
      <c r="D39" s="836"/>
      <c r="E39" s="837">
        <f aca="true" t="shared" si="3" ref="E39:K40">E40</f>
        <v>0</v>
      </c>
      <c r="F39" s="837">
        <f t="shared" si="3"/>
        <v>0</v>
      </c>
      <c r="G39" s="837">
        <f t="shared" si="3"/>
        <v>0</v>
      </c>
      <c r="H39" s="837">
        <f t="shared" si="3"/>
        <v>0</v>
      </c>
      <c r="I39" s="837">
        <f t="shared" si="3"/>
        <v>0</v>
      </c>
      <c r="J39" s="837">
        <f t="shared" si="3"/>
        <v>0</v>
      </c>
      <c r="K39" s="837">
        <f t="shared" si="3"/>
        <v>0</v>
      </c>
      <c r="L39" s="22"/>
      <c r="M39" s="388"/>
      <c r="N39" s="28"/>
    </row>
    <row r="40" spans="1:13" ht="27" customHeight="1">
      <c r="A40" s="792">
        <v>35</v>
      </c>
      <c r="B40" s="724" t="s">
        <v>359</v>
      </c>
      <c r="C40" s="1481" t="s">
        <v>700</v>
      </c>
      <c r="D40" s="1482"/>
      <c r="E40" s="155">
        <f t="shared" si="3"/>
        <v>0</v>
      </c>
      <c r="F40" s="155">
        <f t="shared" si="3"/>
        <v>0</v>
      </c>
      <c r="G40" s="155">
        <f t="shared" si="3"/>
        <v>0</v>
      </c>
      <c r="H40" s="155">
        <f>H41</f>
        <v>0</v>
      </c>
      <c r="I40" s="155">
        <f t="shared" si="3"/>
        <v>0</v>
      </c>
      <c r="J40" s="155">
        <f t="shared" si="3"/>
        <v>0</v>
      </c>
      <c r="K40" s="155">
        <f t="shared" si="3"/>
        <v>0</v>
      </c>
      <c r="L40" s="22"/>
      <c r="M40" s="116"/>
    </row>
    <row r="41" spans="1:13" ht="13.5" thickBot="1">
      <c r="A41" s="792">
        <v>36</v>
      </c>
      <c r="B41" s="839"/>
      <c r="C41" s="840">
        <v>630</v>
      </c>
      <c r="D41" s="841" t="s">
        <v>358</v>
      </c>
      <c r="E41" s="832">
        <v>0</v>
      </c>
      <c r="F41" s="832">
        <v>0</v>
      </c>
      <c r="G41" s="150">
        <v>0</v>
      </c>
      <c r="H41" s="832">
        <v>0</v>
      </c>
      <c r="I41" s="150">
        <v>0</v>
      </c>
      <c r="J41" s="832">
        <v>0</v>
      </c>
      <c r="K41" s="832">
        <v>0</v>
      </c>
      <c r="L41" s="22"/>
      <c r="M41" s="149"/>
    </row>
    <row r="42" spans="1:15" s="35" customFormat="1" ht="12">
      <c r="A42" s="792">
        <v>37</v>
      </c>
      <c r="B42" s="797" t="s">
        <v>341</v>
      </c>
      <c r="C42" s="798" t="s">
        <v>340</v>
      </c>
      <c r="D42" s="842"/>
      <c r="E42" s="800">
        <f aca="true" t="shared" si="4" ref="E42:K42">E43</f>
        <v>46930.53</v>
      </c>
      <c r="F42" s="800">
        <f t="shared" si="4"/>
        <v>0</v>
      </c>
      <c r="G42" s="800">
        <f t="shared" si="4"/>
        <v>500</v>
      </c>
      <c r="H42" s="800">
        <f t="shared" si="4"/>
        <v>100</v>
      </c>
      <c r="I42" s="800">
        <f t="shared" si="4"/>
        <v>100</v>
      </c>
      <c r="J42" s="800">
        <f t="shared" si="4"/>
        <v>100</v>
      </c>
      <c r="K42" s="800">
        <f t="shared" si="4"/>
        <v>100</v>
      </c>
      <c r="L42" s="22"/>
      <c r="M42" s="116"/>
      <c r="O42" s="180"/>
    </row>
    <row r="43" spans="1:15" s="35" customFormat="1" ht="12">
      <c r="A43" s="792">
        <v>38</v>
      </c>
      <c r="B43" s="724" t="s">
        <v>342</v>
      </c>
      <c r="C43" s="802" t="s">
        <v>340</v>
      </c>
      <c r="D43" s="838"/>
      <c r="E43" s="155">
        <f>SUM(E44:E45)</f>
        <v>46930.53</v>
      </c>
      <c r="F43" s="155">
        <f>SUM(F44:F45)</f>
        <v>0</v>
      </c>
      <c r="G43" s="155">
        <f>G44+G45</f>
        <v>500</v>
      </c>
      <c r="H43" s="155">
        <f>H44+H45</f>
        <v>100</v>
      </c>
      <c r="I43" s="155">
        <f>I44+I45</f>
        <v>100</v>
      </c>
      <c r="J43" s="155">
        <f>J44+J45</f>
        <v>100</v>
      </c>
      <c r="K43" s="155">
        <f>K44+K45</f>
        <v>100</v>
      </c>
      <c r="L43" s="22"/>
      <c r="M43" s="116"/>
      <c r="O43" s="180"/>
    </row>
    <row r="44" spans="1:15" s="35" customFormat="1" ht="36.75" thickBot="1">
      <c r="A44" s="792">
        <v>39</v>
      </c>
      <c r="B44" s="839"/>
      <c r="C44" s="840">
        <v>630</v>
      </c>
      <c r="D44" s="841" t="s">
        <v>343</v>
      </c>
      <c r="E44" s="832">
        <v>22364.53</v>
      </c>
      <c r="F44" s="832">
        <v>0</v>
      </c>
      <c r="G44" s="150">
        <v>500</v>
      </c>
      <c r="H44" s="832">
        <v>100</v>
      </c>
      <c r="I44" s="150">
        <v>100</v>
      </c>
      <c r="J44" s="150">
        <v>100</v>
      </c>
      <c r="K44" s="150">
        <v>100</v>
      </c>
      <c r="L44" s="22"/>
      <c r="M44" s="149"/>
      <c r="O44" s="180"/>
    </row>
    <row r="45" spans="1:15" s="35" customFormat="1" ht="48.75" thickBot="1">
      <c r="A45" s="792">
        <v>40</v>
      </c>
      <c r="B45" s="839"/>
      <c r="C45" s="840">
        <v>630</v>
      </c>
      <c r="D45" s="841" t="s">
        <v>348</v>
      </c>
      <c r="E45" s="832">
        <v>24566</v>
      </c>
      <c r="F45" s="832">
        <v>0</v>
      </c>
      <c r="G45" s="150">
        <v>0</v>
      </c>
      <c r="H45" s="832">
        <v>0</v>
      </c>
      <c r="I45" s="150">
        <v>0</v>
      </c>
      <c r="J45" s="832">
        <v>0</v>
      </c>
      <c r="K45" s="832">
        <v>0</v>
      </c>
      <c r="L45" s="22"/>
      <c r="M45" s="149"/>
      <c r="O45" s="180"/>
    </row>
    <row r="46" spans="1:15" s="35" customFormat="1" ht="11.25">
      <c r="A46" s="196"/>
      <c r="B46" s="193"/>
      <c r="C46" s="194"/>
      <c r="D46" s="195"/>
      <c r="E46" s="152"/>
      <c r="F46" s="152"/>
      <c r="G46" s="152"/>
      <c r="H46" s="152"/>
      <c r="I46" s="149"/>
      <c r="J46" s="152"/>
      <c r="K46" s="152"/>
      <c r="L46" s="22"/>
      <c r="M46" s="149"/>
      <c r="O46" s="180"/>
    </row>
    <row r="47" spans="1:15" s="35" customFormat="1" ht="11.25">
      <c r="A47" s="196"/>
      <c r="B47" s="193"/>
      <c r="C47" s="194"/>
      <c r="D47" s="195"/>
      <c r="E47" s="152"/>
      <c r="F47" s="152"/>
      <c r="G47" s="152"/>
      <c r="H47" s="152"/>
      <c r="I47" s="149"/>
      <c r="J47" s="152"/>
      <c r="K47" s="152"/>
      <c r="L47" s="22"/>
      <c r="M47" s="149"/>
      <c r="O47" s="180"/>
    </row>
    <row r="48" spans="1:15" s="35" customFormat="1" ht="15" thickBot="1">
      <c r="A48" s="15"/>
      <c r="B48" s="85" t="s">
        <v>225</v>
      </c>
      <c r="C48"/>
      <c r="D48"/>
      <c r="E48"/>
      <c r="F48"/>
      <c r="G48"/>
      <c r="H48"/>
      <c r="O48" s="180"/>
    </row>
    <row r="49" spans="1:15" s="35" customFormat="1" ht="15.75" thickBot="1">
      <c r="A49" s="1475" t="s">
        <v>9</v>
      </c>
      <c r="B49" s="1476"/>
      <c r="C49" s="1476"/>
      <c r="D49" s="1476"/>
      <c r="E49" s="123" t="s">
        <v>262</v>
      </c>
      <c r="F49" s="123" t="s">
        <v>262</v>
      </c>
      <c r="G49" s="51" t="s">
        <v>263</v>
      </c>
      <c r="H49" s="51" t="s">
        <v>216</v>
      </c>
      <c r="I49" s="139" t="s">
        <v>12</v>
      </c>
      <c r="J49" s="128" t="s">
        <v>12</v>
      </c>
      <c r="K49" s="127" t="s">
        <v>12</v>
      </c>
      <c r="M49" s="139" t="s">
        <v>413</v>
      </c>
      <c r="O49" s="180"/>
    </row>
    <row r="50" spans="1:15" s="35" customFormat="1" ht="11.25">
      <c r="A50" s="25"/>
      <c r="B50" s="26"/>
      <c r="C50" s="27"/>
      <c r="D50" s="100"/>
      <c r="E50" s="80"/>
      <c r="F50" s="80"/>
      <c r="G50" s="125" t="s">
        <v>215</v>
      </c>
      <c r="H50" s="125" t="s">
        <v>217</v>
      </c>
      <c r="I50" s="140"/>
      <c r="J50" s="184" t="s">
        <v>320</v>
      </c>
      <c r="K50" s="184" t="s">
        <v>320</v>
      </c>
      <c r="M50" s="140" t="s">
        <v>414</v>
      </c>
      <c r="O50" s="180"/>
    </row>
    <row r="51" spans="1:15" s="35" customFormat="1" ht="15.75">
      <c r="A51" s="1466" t="s">
        <v>467</v>
      </c>
      <c r="B51" s="1468" t="s">
        <v>468</v>
      </c>
      <c r="C51" s="1468" t="s">
        <v>469</v>
      </c>
      <c r="D51" s="1470" t="s">
        <v>5</v>
      </c>
      <c r="E51" s="124" t="s">
        <v>272</v>
      </c>
      <c r="F51" s="124" t="s">
        <v>284</v>
      </c>
      <c r="G51" s="126">
        <v>2023</v>
      </c>
      <c r="H51" s="82" t="s">
        <v>332</v>
      </c>
      <c r="I51" s="141">
        <v>2024</v>
      </c>
      <c r="J51" s="130" t="s">
        <v>421</v>
      </c>
      <c r="K51" s="129">
        <v>2026</v>
      </c>
      <c r="M51" s="141">
        <v>2024</v>
      </c>
      <c r="O51" s="180"/>
    </row>
    <row r="52" spans="1:15" s="35" customFormat="1" ht="12" thickBot="1">
      <c r="A52" s="1467"/>
      <c r="B52" s="1469"/>
      <c r="C52" s="1469"/>
      <c r="D52" s="1471"/>
      <c r="E52" s="83" t="s">
        <v>207</v>
      </c>
      <c r="F52" s="83" t="s">
        <v>207</v>
      </c>
      <c r="G52" s="84" t="s">
        <v>207</v>
      </c>
      <c r="H52" s="84" t="s">
        <v>207</v>
      </c>
      <c r="I52" s="142" t="s">
        <v>207</v>
      </c>
      <c r="J52" s="132" t="s">
        <v>207</v>
      </c>
      <c r="K52" s="131" t="s">
        <v>207</v>
      </c>
      <c r="M52" s="142" t="s">
        <v>207</v>
      </c>
      <c r="O52" s="180"/>
    </row>
    <row r="53" spans="1:15" s="35" customFormat="1" ht="13.5" thickBot="1" thickTop="1">
      <c r="A53" s="792">
        <v>1</v>
      </c>
      <c r="B53" s="793" t="s">
        <v>226</v>
      </c>
      <c r="C53" s="794"/>
      <c r="D53" s="845"/>
      <c r="E53" s="796">
        <f>E54</f>
        <v>0</v>
      </c>
      <c r="F53" s="796">
        <f>F54</f>
        <v>4560</v>
      </c>
      <c r="G53" s="796">
        <f aca="true" t="shared" si="5" ref="G53:K54">G54</f>
        <v>0</v>
      </c>
      <c r="H53" s="796">
        <f t="shared" si="5"/>
        <v>0</v>
      </c>
      <c r="I53" s="796">
        <f>I54+I59</f>
        <v>8000</v>
      </c>
      <c r="J53" s="796">
        <f t="shared" si="5"/>
        <v>0</v>
      </c>
      <c r="K53" s="796">
        <f t="shared" si="5"/>
        <v>0</v>
      </c>
      <c r="M53" s="101">
        <f>M54</f>
        <v>0</v>
      </c>
      <c r="O53" s="180"/>
    </row>
    <row r="54" spans="1:15" s="35" customFormat="1" ht="12.75" thickTop="1">
      <c r="A54" s="792">
        <v>2</v>
      </c>
      <c r="B54" s="797">
        <v>1</v>
      </c>
      <c r="C54" s="798" t="s">
        <v>67</v>
      </c>
      <c r="D54" s="842"/>
      <c r="E54" s="800">
        <f>E55</f>
        <v>0</v>
      </c>
      <c r="F54" s="800">
        <f>F55</f>
        <v>4560</v>
      </c>
      <c r="G54" s="800">
        <f t="shared" si="5"/>
        <v>0</v>
      </c>
      <c r="H54" s="800">
        <f t="shared" si="5"/>
        <v>0</v>
      </c>
      <c r="I54" s="800">
        <f t="shared" si="5"/>
        <v>0</v>
      </c>
      <c r="J54" s="800">
        <f t="shared" si="5"/>
        <v>0</v>
      </c>
      <c r="K54" s="800">
        <f t="shared" si="5"/>
        <v>0</v>
      </c>
      <c r="M54" s="99">
        <f>M55</f>
        <v>0</v>
      </c>
      <c r="O54" s="180"/>
    </row>
    <row r="55" spans="1:15" s="35" customFormat="1" ht="12">
      <c r="A55" s="792">
        <v>3</v>
      </c>
      <c r="B55" s="801" t="s">
        <v>190</v>
      </c>
      <c r="C55" s="802" t="s">
        <v>67</v>
      </c>
      <c r="D55" s="838"/>
      <c r="E55" s="155">
        <f>SUM(E56:E56)</f>
        <v>0</v>
      </c>
      <c r="F55" s="155">
        <f aca="true" t="shared" si="6" ref="F55:K55">SUM(F56:F58)</f>
        <v>4560</v>
      </c>
      <c r="G55" s="155">
        <f t="shared" si="6"/>
        <v>0</v>
      </c>
      <c r="H55" s="155">
        <f t="shared" si="6"/>
        <v>0</v>
      </c>
      <c r="I55" s="155">
        <f t="shared" si="6"/>
        <v>0</v>
      </c>
      <c r="J55" s="155">
        <f t="shared" si="6"/>
        <v>0</v>
      </c>
      <c r="K55" s="155">
        <f t="shared" si="6"/>
        <v>0</v>
      </c>
      <c r="M55" s="88">
        <f>SUM(M56:M58)</f>
        <v>0</v>
      </c>
      <c r="O55" s="180"/>
    </row>
    <row r="56" spans="1:15" s="35" customFormat="1" ht="24">
      <c r="A56" s="792">
        <v>4</v>
      </c>
      <c r="B56" s="846"/>
      <c r="C56" s="820">
        <v>700</v>
      </c>
      <c r="D56" s="850" t="s">
        <v>344</v>
      </c>
      <c r="E56" s="821">
        <v>0</v>
      </c>
      <c r="F56" s="821">
        <v>0</v>
      </c>
      <c r="G56" s="821">
        <v>0</v>
      </c>
      <c r="H56" s="821">
        <v>0</v>
      </c>
      <c r="I56" s="821">
        <v>0</v>
      </c>
      <c r="J56" s="821">
        <v>0</v>
      </c>
      <c r="K56" s="821">
        <v>0</v>
      </c>
      <c r="M56" s="106">
        <v>0</v>
      </c>
      <c r="O56" s="180"/>
    </row>
    <row r="57" spans="1:15" s="35" customFormat="1" ht="24">
      <c r="A57" s="792">
        <v>6</v>
      </c>
      <c r="B57" s="846"/>
      <c r="C57" s="820">
        <v>700</v>
      </c>
      <c r="D57" s="847" t="s">
        <v>415</v>
      </c>
      <c r="E57" s="821">
        <v>0</v>
      </c>
      <c r="F57" s="821">
        <v>0</v>
      </c>
      <c r="G57" s="821">
        <v>0</v>
      </c>
      <c r="H57" s="821">
        <v>0</v>
      </c>
      <c r="I57" s="821">
        <v>0</v>
      </c>
      <c r="J57" s="821">
        <v>0</v>
      </c>
      <c r="K57" s="821">
        <v>0</v>
      </c>
      <c r="M57" s="106">
        <v>0</v>
      </c>
      <c r="O57" s="180"/>
    </row>
    <row r="58" spans="1:15" s="35" customFormat="1" ht="12.75" thickBot="1">
      <c r="A58" s="828">
        <v>7</v>
      </c>
      <c r="B58" s="848"/>
      <c r="C58" s="849">
        <v>700</v>
      </c>
      <c r="D58" s="831" t="s">
        <v>416</v>
      </c>
      <c r="E58" s="832">
        <v>0</v>
      </c>
      <c r="F58" s="832">
        <v>4560</v>
      </c>
      <c r="G58" s="832">
        <v>0</v>
      </c>
      <c r="H58" s="832">
        <v>0</v>
      </c>
      <c r="I58" s="832">
        <v>0</v>
      </c>
      <c r="J58" s="832">
        <v>0</v>
      </c>
      <c r="K58" s="832">
        <v>0</v>
      </c>
      <c r="M58" s="106">
        <v>0</v>
      </c>
      <c r="O58" s="180"/>
    </row>
    <row r="59" spans="1:11" ht="12.75">
      <c r="A59" s="833">
        <v>8</v>
      </c>
      <c r="B59" s="834" t="s">
        <v>6</v>
      </c>
      <c r="C59" s="835" t="s">
        <v>360</v>
      </c>
      <c r="D59" s="836"/>
      <c r="E59" s="837">
        <f aca="true" t="shared" si="7" ref="E59:K60">E60</f>
        <v>0</v>
      </c>
      <c r="F59" s="837">
        <f t="shared" si="7"/>
        <v>0</v>
      </c>
      <c r="G59" s="837">
        <f t="shared" si="7"/>
        <v>0</v>
      </c>
      <c r="H59" s="837">
        <f t="shared" si="7"/>
        <v>0</v>
      </c>
      <c r="I59" s="837">
        <f t="shared" si="7"/>
        <v>8000</v>
      </c>
      <c r="J59" s="837">
        <f t="shared" si="7"/>
        <v>0</v>
      </c>
      <c r="K59" s="837">
        <f t="shared" si="7"/>
        <v>0</v>
      </c>
    </row>
    <row r="60" spans="1:13" ht="24.75" customHeight="1">
      <c r="A60" s="792">
        <v>9</v>
      </c>
      <c r="B60" s="724" t="s">
        <v>359</v>
      </c>
      <c r="C60" s="1481" t="s">
        <v>700</v>
      </c>
      <c r="D60" s="1482"/>
      <c r="E60" s="155">
        <f t="shared" si="7"/>
        <v>0</v>
      </c>
      <c r="F60" s="155">
        <f t="shared" si="7"/>
        <v>0</v>
      </c>
      <c r="G60" s="155">
        <f t="shared" si="7"/>
        <v>0</v>
      </c>
      <c r="H60" s="155">
        <f>H61</f>
        <v>0</v>
      </c>
      <c r="I60" s="155">
        <f t="shared" si="7"/>
        <v>8000</v>
      </c>
      <c r="J60" s="155">
        <f t="shared" si="7"/>
        <v>0</v>
      </c>
      <c r="K60" s="155">
        <f t="shared" si="7"/>
        <v>0</v>
      </c>
      <c r="M60" s="3"/>
    </row>
    <row r="61" spans="1:13" ht="15" customHeight="1" thickBot="1">
      <c r="A61" s="792">
        <v>10</v>
      </c>
      <c r="B61" s="839"/>
      <c r="C61" s="840">
        <v>700</v>
      </c>
      <c r="D61" s="841" t="s">
        <v>598</v>
      </c>
      <c r="E61" s="832">
        <v>0</v>
      </c>
      <c r="F61" s="832">
        <v>0</v>
      </c>
      <c r="G61" s="150">
        <v>0</v>
      </c>
      <c r="H61" s="832">
        <v>0</v>
      </c>
      <c r="I61" s="150">
        <v>8000</v>
      </c>
      <c r="J61" s="832">
        <v>0</v>
      </c>
      <c r="K61" s="832">
        <v>0</v>
      </c>
      <c r="L61" s="406" t="s">
        <v>659</v>
      </c>
      <c r="M61" s="406"/>
    </row>
    <row r="62" ht="12.75">
      <c r="D62" s="45"/>
    </row>
    <row r="63" ht="15.75">
      <c r="D63" s="402" t="s">
        <v>710</v>
      </c>
    </row>
    <row r="64" ht="12.75">
      <c r="D64" s="403" t="s">
        <v>635</v>
      </c>
    </row>
    <row r="65" ht="12.75">
      <c r="D65" s="403" t="s">
        <v>636</v>
      </c>
    </row>
    <row r="66" spans="3:15" s="35" customFormat="1" ht="12.75">
      <c r="C66" s="29"/>
      <c r="D66" s="403" t="s">
        <v>711</v>
      </c>
      <c r="E66" s="290"/>
      <c r="F66" s="290"/>
      <c r="G66" s="290"/>
      <c r="H66" s="290"/>
      <c r="O66" s="180"/>
    </row>
    <row r="67" spans="2:15" s="35" customFormat="1" ht="12.75">
      <c r="B67" s="64"/>
      <c r="C67" s="59"/>
      <c r="D67" s="403" t="s">
        <v>637</v>
      </c>
      <c r="I67" s="290" t="s">
        <v>639</v>
      </c>
      <c r="O67" s="180"/>
    </row>
    <row r="68" spans="2:15" s="35" customFormat="1" ht="12.75">
      <c r="B68" s="64"/>
      <c r="C68" s="59"/>
      <c r="D68" s="403" t="s">
        <v>638</v>
      </c>
      <c r="E68" s="70"/>
      <c r="F68" s="70"/>
      <c r="G68" s="70"/>
      <c r="H68" s="70"/>
      <c r="O68" s="180"/>
    </row>
    <row r="69" spans="2:15" s="35" customFormat="1" ht="11.25">
      <c r="B69" s="64"/>
      <c r="C69" s="59"/>
      <c r="E69" s="70"/>
      <c r="F69" s="70"/>
      <c r="G69" s="70"/>
      <c r="H69" s="70"/>
      <c r="O69" s="180"/>
    </row>
    <row r="70" spans="2:15" s="35" customFormat="1" ht="11.25">
      <c r="B70" s="77"/>
      <c r="C70" s="60"/>
      <c r="D70" s="73"/>
      <c r="E70" s="70"/>
      <c r="F70" s="70"/>
      <c r="G70" s="70"/>
      <c r="H70" s="70"/>
      <c r="O70" s="180"/>
    </row>
    <row r="71" spans="2:15" s="35" customFormat="1" ht="11.25">
      <c r="B71" s="64"/>
      <c r="C71" s="59"/>
      <c r="E71" s="70"/>
      <c r="F71" s="70"/>
      <c r="G71" s="70"/>
      <c r="H71" s="70"/>
      <c r="O71" s="180"/>
    </row>
    <row r="72" spans="2:15" s="35" customFormat="1" ht="11.25">
      <c r="B72" s="64"/>
      <c r="C72" s="60"/>
      <c r="E72" s="70"/>
      <c r="F72" s="70"/>
      <c r="G72" s="70"/>
      <c r="H72" s="70"/>
      <c r="O72" s="180"/>
    </row>
    <row r="73" spans="2:15" s="35" customFormat="1" ht="11.25">
      <c r="B73" s="64"/>
      <c r="C73" s="59"/>
      <c r="E73" s="70"/>
      <c r="F73" s="70"/>
      <c r="G73" s="70"/>
      <c r="H73" s="70"/>
      <c r="O73" s="180"/>
    </row>
    <row r="74" spans="2:15" s="35" customFormat="1" ht="11.25">
      <c r="B74" s="29"/>
      <c r="C74" s="59"/>
      <c r="E74" s="71"/>
      <c r="F74" s="71"/>
      <c r="G74" s="71"/>
      <c r="H74" s="71"/>
      <c r="O74" s="180"/>
    </row>
    <row r="75" spans="2:15" s="35" customFormat="1" ht="11.25">
      <c r="B75" s="29"/>
      <c r="C75" s="59"/>
      <c r="E75" s="61"/>
      <c r="F75" s="61"/>
      <c r="G75" s="61"/>
      <c r="H75" s="61"/>
      <c r="O75" s="180"/>
    </row>
    <row r="76" spans="2:15" s="35" customFormat="1" ht="11.25">
      <c r="B76" s="29"/>
      <c r="C76" s="60"/>
      <c r="E76" s="72"/>
      <c r="F76" s="72"/>
      <c r="G76" s="72"/>
      <c r="H76" s="72"/>
      <c r="O76" s="180"/>
    </row>
    <row r="77" spans="2:15" s="35" customFormat="1" ht="11.25">
      <c r="B77" s="65"/>
      <c r="D77" s="74"/>
      <c r="E77" s="76"/>
      <c r="F77" s="76"/>
      <c r="G77" s="76"/>
      <c r="H77" s="76"/>
      <c r="O77" s="180"/>
    </row>
    <row r="78" spans="2:15" s="35" customFormat="1" ht="11.25">
      <c r="B78" s="29"/>
      <c r="D78" s="75"/>
      <c r="E78" s="76"/>
      <c r="F78" s="76"/>
      <c r="G78" s="76"/>
      <c r="H78" s="76"/>
      <c r="O78" s="180"/>
    </row>
  </sheetData>
  <sheetProtection/>
  <mergeCells count="14">
    <mergeCell ref="C60:D60"/>
    <mergeCell ref="N24:O24"/>
    <mergeCell ref="A51:A52"/>
    <mergeCell ref="B51:B52"/>
    <mergeCell ref="C51:C52"/>
    <mergeCell ref="D51:D52"/>
    <mergeCell ref="A49:D49"/>
    <mergeCell ref="C40:D40"/>
    <mergeCell ref="A2:D2"/>
    <mergeCell ref="A4:A5"/>
    <mergeCell ref="B4:B5"/>
    <mergeCell ref="C4:C5"/>
    <mergeCell ref="D4:D5"/>
    <mergeCell ref="N21:O22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5.00390625" style="0" customWidth="1"/>
    <col min="4" max="4" width="26.00390625" style="0" customWidth="1"/>
    <col min="5" max="11" width="10.421875" style="0" bestFit="1" customWidth="1"/>
    <col min="12" max="12" width="10.140625" style="0" bestFit="1" customWidth="1"/>
  </cols>
  <sheetData>
    <row r="1" spans="1:2" ht="15" thickBot="1">
      <c r="A1" s="15"/>
      <c r="B1" s="85" t="s">
        <v>229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54"/>
      <c r="B3" s="55"/>
      <c r="C3" s="56"/>
      <c r="D3" s="57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2" ht="14.25" thickBot="1" thickTop="1">
      <c r="A6" s="456">
        <v>1</v>
      </c>
      <c r="B6" s="459" t="s">
        <v>125</v>
      </c>
      <c r="C6" s="738"/>
      <c r="D6" s="477"/>
      <c r="E6" s="739">
        <f>E7+E14</f>
        <v>141799.74</v>
      </c>
      <c r="F6" s="739">
        <f aca="true" t="shared" si="0" ref="F6:K6">F7+F14</f>
        <v>148195.7</v>
      </c>
      <c r="G6" s="739">
        <f t="shared" si="0"/>
        <v>197985</v>
      </c>
      <c r="H6" s="739">
        <f t="shared" si="0"/>
        <v>233157.7</v>
      </c>
      <c r="I6" s="739">
        <f t="shared" si="0"/>
        <v>214268</v>
      </c>
      <c r="J6" s="739">
        <f t="shared" si="0"/>
        <v>211967</v>
      </c>
      <c r="K6" s="739">
        <f t="shared" si="0"/>
        <v>213166</v>
      </c>
      <c r="L6" s="145"/>
    </row>
    <row r="7" spans="1:11" ht="13.5" thickTop="1">
      <c r="A7" s="462">
        <v>2</v>
      </c>
      <c r="B7" s="457">
        <v>1</v>
      </c>
      <c r="C7" s="478" t="s">
        <v>124</v>
      </c>
      <c r="D7" s="458"/>
      <c r="E7" s="157">
        <f aca="true" t="shared" si="1" ref="E7:K7">E8</f>
        <v>65411.26</v>
      </c>
      <c r="F7" s="157">
        <f t="shared" si="1"/>
        <v>60085.59</v>
      </c>
      <c r="G7" s="157">
        <f t="shared" si="1"/>
        <v>75500</v>
      </c>
      <c r="H7" s="157">
        <f t="shared" si="1"/>
        <v>55500</v>
      </c>
      <c r="I7" s="157">
        <f t="shared" si="1"/>
        <v>75500</v>
      </c>
      <c r="J7" s="157">
        <f t="shared" si="1"/>
        <v>75500</v>
      </c>
      <c r="K7" s="157">
        <f t="shared" si="1"/>
        <v>75500</v>
      </c>
    </row>
    <row r="8" spans="1:12" ht="12.75">
      <c r="A8" s="462">
        <v>3</v>
      </c>
      <c r="B8" s="724" t="s">
        <v>191</v>
      </c>
      <c r="C8" s="725" t="s">
        <v>3</v>
      </c>
      <c r="D8" s="744"/>
      <c r="E8" s="155">
        <f>E9+E10+E11</f>
        <v>65411.26</v>
      </c>
      <c r="F8" s="155">
        <f aca="true" t="shared" si="2" ref="F8:K8">SUM(F9:F13)</f>
        <v>60085.59</v>
      </c>
      <c r="G8" s="155">
        <f t="shared" si="2"/>
        <v>75500</v>
      </c>
      <c r="H8" s="155">
        <f t="shared" si="2"/>
        <v>55500</v>
      </c>
      <c r="I8" s="155">
        <f t="shared" si="2"/>
        <v>75500</v>
      </c>
      <c r="J8" s="155">
        <f t="shared" si="2"/>
        <v>75500</v>
      </c>
      <c r="K8" s="155">
        <f t="shared" si="2"/>
        <v>75500</v>
      </c>
      <c r="L8" s="145"/>
    </row>
    <row r="9" spans="1:13" ht="45">
      <c r="A9" s="462">
        <v>4</v>
      </c>
      <c r="B9" s="727"/>
      <c r="C9" s="726" t="s">
        <v>218</v>
      </c>
      <c r="D9" s="1295" t="s">
        <v>755</v>
      </c>
      <c r="E9" s="161">
        <v>63443.26</v>
      </c>
      <c r="F9" s="161">
        <v>49994.63</v>
      </c>
      <c r="G9" s="161">
        <v>75000</v>
      </c>
      <c r="H9" s="161">
        <v>55000</v>
      </c>
      <c r="I9" s="532">
        <v>75000</v>
      </c>
      <c r="J9" s="161">
        <v>75000</v>
      </c>
      <c r="K9" s="161">
        <v>75000</v>
      </c>
      <c r="M9" s="149"/>
    </row>
    <row r="10" spans="1:11" ht="12.75">
      <c r="A10" s="462">
        <v>5</v>
      </c>
      <c r="B10" s="727"/>
      <c r="C10" s="726" t="s">
        <v>218</v>
      </c>
      <c r="D10" s="489" t="s">
        <v>228</v>
      </c>
      <c r="E10" s="161">
        <v>0</v>
      </c>
      <c r="F10" s="161">
        <v>3613.36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</row>
    <row r="11" spans="1:11" ht="24">
      <c r="A11" s="462">
        <v>6</v>
      </c>
      <c r="B11" s="727"/>
      <c r="C11" s="726" t="s">
        <v>218</v>
      </c>
      <c r="D11" s="757" t="s">
        <v>170</v>
      </c>
      <c r="E11" s="161">
        <v>1968</v>
      </c>
      <c r="F11" s="161">
        <v>477.6</v>
      </c>
      <c r="G11" s="161">
        <v>500</v>
      </c>
      <c r="H11" s="161">
        <v>400</v>
      </c>
      <c r="I11" s="161">
        <v>400</v>
      </c>
      <c r="J11" s="161">
        <v>400</v>
      </c>
      <c r="K11" s="161">
        <v>400</v>
      </c>
    </row>
    <row r="12" spans="1:11" ht="12.75">
      <c r="A12" s="462">
        <v>7</v>
      </c>
      <c r="B12" s="727"/>
      <c r="C12" s="726" t="s">
        <v>218</v>
      </c>
      <c r="D12" s="489" t="s">
        <v>567</v>
      </c>
      <c r="E12" s="161">
        <v>0</v>
      </c>
      <c r="F12" s="161">
        <v>0</v>
      </c>
      <c r="G12" s="161">
        <v>0</v>
      </c>
      <c r="H12" s="161">
        <v>100</v>
      </c>
      <c r="I12" s="161">
        <v>100</v>
      </c>
      <c r="J12" s="161">
        <v>100</v>
      </c>
      <c r="K12" s="161">
        <v>100</v>
      </c>
    </row>
    <row r="13" spans="1:11" ht="36">
      <c r="A13" s="462">
        <v>8</v>
      </c>
      <c r="B13" s="727"/>
      <c r="C13" s="726" t="s">
        <v>218</v>
      </c>
      <c r="D13" s="482" t="s">
        <v>479</v>
      </c>
      <c r="E13" s="161">
        <v>0</v>
      </c>
      <c r="F13" s="161">
        <v>6000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</row>
    <row r="14" spans="1:11" ht="12.75">
      <c r="A14" s="462">
        <v>9</v>
      </c>
      <c r="B14" s="483">
        <v>2</v>
      </c>
      <c r="C14" s="484" t="s">
        <v>73</v>
      </c>
      <c r="D14" s="485"/>
      <c r="E14" s="160">
        <f>E15+E26</f>
        <v>76388.48</v>
      </c>
      <c r="F14" s="160">
        <f aca="true" t="shared" si="3" ref="F14:K14">F15+F26</f>
        <v>88110.11000000002</v>
      </c>
      <c r="G14" s="160">
        <f>G15+G26</f>
        <v>122485</v>
      </c>
      <c r="H14" s="160">
        <f t="shared" si="3"/>
        <v>177657.7</v>
      </c>
      <c r="I14" s="160">
        <f t="shared" si="3"/>
        <v>138768</v>
      </c>
      <c r="J14" s="160">
        <f t="shared" si="3"/>
        <v>136467</v>
      </c>
      <c r="K14" s="160">
        <f t="shared" si="3"/>
        <v>137666</v>
      </c>
    </row>
    <row r="15" spans="1:11" ht="12.75">
      <c r="A15" s="462">
        <v>10</v>
      </c>
      <c r="B15" s="851" t="s">
        <v>192</v>
      </c>
      <c r="C15" s="725" t="s">
        <v>73</v>
      </c>
      <c r="D15" s="744"/>
      <c r="E15" s="155">
        <f>E16+E17+E18+E20+E21+E23</f>
        <v>38592.46</v>
      </c>
      <c r="F15" s="155">
        <f>SUM(F16:F24)</f>
        <v>43903.66000000001</v>
      </c>
      <c r="G15" s="155">
        <f>SUM(G16:G25)</f>
        <v>75828</v>
      </c>
      <c r="H15" s="155">
        <f>SUM(H16:H25)</f>
        <v>123432</v>
      </c>
      <c r="I15" s="155">
        <f>SUM(I16:I25)</f>
        <v>86763</v>
      </c>
      <c r="J15" s="155">
        <f>SUM(J16:J25)</f>
        <v>81763</v>
      </c>
      <c r="K15" s="155">
        <f>SUM(K16:K25)</f>
        <v>80263</v>
      </c>
    </row>
    <row r="16" spans="1:12" ht="12.75">
      <c r="A16" s="462">
        <v>11</v>
      </c>
      <c r="B16" s="471"/>
      <c r="C16" s="726" t="s">
        <v>218</v>
      </c>
      <c r="D16" s="489" t="s">
        <v>103</v>
      </c>
      <c r="E16" s="148">
        <v>16563.43</v>
      </c>
      <c r="F16" s="148">
        <v>21745.7</v>
      </c>
      <c r="G16" s="148">
        <v>49008</v>
      </c>
      <c r="H16" s="148">
        <v>49008</v>
      </c>
      <c r="I16" s="148">
        <f>(2042*12)*2</f>
        <v>49008</v>
      </c>
      <c r="J16" s="148">
        <v>49008</v>
      </c>
      <c r="K16" s="148">
        <v>49008</v>
      </c>
      <c r="L16" s="146"/>
    </row>
    <row r="17" spans="1:15" ht="36">
      <c r="A17" s="462">
        <v>12</v>
      </c>
      <c r="B17" s="471"/>
      <c r="C17" s="726" t="s">
        <v>218</v>
      </c>
      <c r="D17" s="482" t="s">
        <v>712</v>
      </c>
      <c r="E17" s="148">
        <v>14386.53</v>
      </c>
      <c r="F17" s="148">
        <v>13029.93</v>
      </c>
      <c r="G17" s="148">
        <v>14500</v>
      </c>
      <c r="H17" s="148">
        <v>26750</v>
      </c>
      <c r="I17" s="148">
        <v>20000</v>
      </c>
      <c r="J17" s="148">
        <v>15000</v>
      </c>
      <c r="K17" s="148">
        <v>13500</v>
      </c>
      <c r="O17" s="121"/>
    </row>
    <row r="18" spans="1:11" ht="12.75">
      <c r="A18" s="462">
        <v>13</v>
      </c>
      <c r="B18" s="471"/>
      <c r="C18" s="726" t="s">
        <v>218</v>
      </c>
      <c r="D18" s="489" t="s">
        <v>475</v>
      </c>
      <c r="E18" s="148">
        <v>2931.6</v>
      </c>
      <c r="F18" s="148">
        <v>2848.8</v>
      </c>
      <c r="G18" s="148">
        <v>2800</v>
      </c>
      <c r="H18" s="148">
        <v>2800</v>
      </c>
      <c r="I18" s="148">
        <v>2800</v>
      </c>
      <c r="J18" s="148">
        <v>2800</v>
      </c>
      <c r="K18" s="148">
        <v>2800</v>
      </c>
    </row>
    <row r="19" spans="1:11" ht="36">
      <c r="A19" s="462">
        <v>14</v>
      </c>
      <c r="B19" s="471"/>
      <c r="C19" s="726" t="s">
        <v>218</v>
      </c>
      <c r="D19" s="482" t="s">
        <v>713</v>
      </c>
      <c r="E19" s="148">
        <v>0</v>
      </c>
      <c r="F19" s="148">
        <v>0</v>
      </c>
      <c r="G19" s="148">
        <v>4110</v>
      </c>
      <c r="H19" s="148">
        <v>6100</v>
      </c>
      <c r="I19" s="148">
        <v>6500</v>
      </c>
      <c r="J19" s="148">
        <v>6500</v>
      </c>
      <c r="K19" s="148">
        <v>6500</v>
      </c>
    </row>
    <row r="20" spans="1:16" ht="24">
      <c r="A20" s="462">
        <v>15</v>
      </c>
      <c r="B20" s="471"/>
      <c r="C20" s="726" t="s">
        <v>218</v>
      </c>
      <c r="D20" s="757" t="s">
        <v>156</v>
      </c>
      <c r="E20" s="148">
        <v>355.73</v>
      </c>
      <c r="F20" s="148">
        <v>298.75</v>
      </c>
      <c r="G20" s="148">
        <v>405</v>
      </c>
      <c r="H20" s="148">
        <v>405</v>
      </c>
      <c r="I20" s="148">
        <v>0</v>
      </c>
      <c r="J20" s="148">
        <v>0</v>
      </c>
      <c r="K20" s="148">
        <v>0</v>
      </c>
      <c r="L20" s="1487" t="s">
        <v>655</v>
      </c>
      <c r="M20" s="1487"/>
      <c r="N20" s="1487"/>
      <c r="O20" s="3"/>
      <c r="P20" s="3"/>
    </row>
    <row r="21" spans="1:16" ht="12.75">
      <c r="A21" s="462">
        <v>16</v>
      </c>
      <c r="B21" s="471"/>
      <c r="C21" s="726" t="s">
        <v>218</v>
      </c>
      <c r="D21" s="489" t="s">
        <v>596</v>
      </c>
      <c r="E21" s="148">
        <v>0</v>
      </c>
      <c r="F21" s="148">
        <v>265.93</v>
      </c>
      <c r="G21" s="148">
        <v>0</v>
      </c>
      <c r="H21" s="148">
        <v>0</v>
      </c>
      <c r="I21" s="148">
        <v>200</v>
      </c>
      <c r="J21" s="148">
        <v>200</v>
      </c>
      <c r="K21" s="148">
        <v>200</v>
      </c>
      <c r="L21" s="3"/>
      <c r="M21" s="3"/>
      <c r="N21" s="3"/>
      <c r="O21" s="3"/>
      <c r="P21" s="3"/>
    </row>
    <row r="22" spans="1:16" ht="21" customHeight="1">
      <c r="A22" s="462">
        <v>17</v>
      </c>
      <c r="B22" s="471"/>
      <c r="C22" s="726" t="s">
        <v>218</v>
      </c>
      <c r="D22" s="489" t="s">
        <v>502</v>
      </c>
      <c r="E22" s="148">
        <v>0</v>
      </c>
      <c r="F22" s="148">
        <v>0</v>
      </c>
      <c r="G22" s="148">
        <v>0</v>
      </c>
      <c r="H22" s="148">
        <v>19119</v>
      </c>
      <c r="I22" s="1298">
        <v>0</v>
      </c>
      <c r="J22" s="148">
        <v>0</v>
      </c>
      <c r="K22" s="148">
        <v>0</v>
      </c>
      <c r="L22" s="1490" t="s">
        <v>749</v>
      </c>
      <c r="M22" s="1491"/>
      <c r="N22" s="1491"/>
      <c r="O22" s="3"/>
      <c r="P22" s="3"/>
    </row>
    <row r="23" spans="1:16" ht="36">
      <c r="A23" s="462">
        <v>18</v>
      </c>
      <c r="B23" s="471"/>
      <c r="C23" s="726" t="s">
        <v>218</v>
      </c>
      <c r="D23" s="482" t="s">
        <v>656</v>
      </c>
      <c r="E23" s="148">
        <v>4355.17</v>
      </c>
      <c r="F23" s="148">
        <v>3711.3</v>
      </c>
      <c r="G23" s="148">
        <f>(210*12)+480</f>
        <v>3000</v>
      </c>
      <c r="H23" s="148">
        <v>6250</v>
      </c>
      <c r="I23" s="148">
        <v>6250</v>
      </c>
      <c r="J23" s="148">
        <v>6250</v>
      </c>
      <c r="K23" s="148">
        <v>6250</v>
      </c>
      <c r="L23" s="3"/>
      <c r="M23" s="3"/>
      <c r="N23" s="3"/>
      <c r="O23" s="3"/>
      <c r="P23" s="3"/>
    </row>
    <row r="24" spans="1:16" ht="24">
      <c r="A24" s="462">
        <v>19</v>
      </c>
      <c r="B24" s="852"/>
      <c r="C24" s="726" t="s">
        <v>218</v>
      </c>
      <c r="D24" s="482" t="s">
        <v>762</v>
      </c>
      <c r="E24" s="161">
        <v>0</v>
      </c>
      <c r="F24" s="161">
        <v>2003.25</v>
      </c>
      <c r="G24" s="161">
        <v>2005</v>
      </c>
      <c r="H24" s="161">
        <v>0</v>
      </c>
      <c r="I24" s="161">
        <v>2005</v>
      </c>
      <c r="J24" s="161">
        <v>2005</v>
      </c>
      <c r="K24" s="161">
        <v>2005</v>
      </c>
      <c r="L24" s="3"/>
      <c r="M24" s="3"/>
      <c r="N24" s="3"/>
      <c r="O24" s="3"/>
      <c r="P24" s="3"/>
    </row>
    <row r="25" spans="1:16" ht="24">
      <c r="A25" s="462">
        <v>20</v>
      </c>
      <c r="B25" s="852"/>
      <c r="C25" s="726" t="s">
        <v>218</v>
      </c>
      <c r="D25" s="482" t="s">
        <v>565</v>
      </c>
      <c r="E25" s="161">
        <v>0</v>
      </c>
      <c r="F25" s="161">
        <v>0</v>
      </c>
      <c r="G25" s="161">
        <v>0</v>
      </c>
      <c r="H25" s="161">
        <v>13000</v>
      </c>
      <c r="I25" s="161">
        <v>0</v>
      </c>
      <c r="J25" s="161">
        <v>0</v>
      </c>
      <c r="K25" s="161">
        <v>0</v>
      </c>
      <c r="L25" s="3"/>
      <c r="M25" s="3"/>
      <c r="N25" s="3"/>
      <c r="O25" s="3"/>
      <c r="P25" s="3"/>
    </row>
    <row r="26" spans="1:16" ht="12.75">
      <c r="A26" s="462">
        <v>21</v>
      </c>
      <c r="B26" s="851" t="s">
        <v>192</v>
      </c>
      <c r="C26" s="725" t="s">
        <v>104</v>
      </c>
      <c r="D26" s="744"/>
      <c r="E26" s="155">
        <f>E27+E28+E29+E31+E32+E33</f>
        <v>37796.02</v>
      </c>
      <c r="F26" s="155">
        <f>F27+F28+F29+F31+F32+F33</f>
        <v>44206.45</v>
      </c>
      <c r="G26" s="155">
        <f>SUM(G27:G33)</f>
        <v>46657</v>
      </c>
      <c r="H26" s="155">
        <f>SUM(H27:H33)</f>
        <v>54225.7</v>
      </c>
      <c r="I26" s="155">
        <f>SUM(I27:I33)</f>
        <v>52005</v>
      </c>
      <c r="J26" s="155">
        <f>SUM(J27:J33)</f>
        <v>54704</v>
      </c>
      <c r="K26" s="155">
        <f>SUM(K27:K33)</f>
        <v>57403</v>
      </c>
      <c r="L26" s="3"/>
      <c r="M26" s="3"/>
      <c r="N26" s="3"/>
      <c r="O26" s="3"/>
      <c r="P26" s="3"/>
    </row>
    <row r="27" spans="1:16" ht="36">
      <c r="A27" s="462">
        <v>22</v>
      </c>
      <c r="B27" s="853"/>
      <c r="C27" s="487">
        <v>610</v>
      </c>
      <c r="D27" s="482" t="s">
        <v>357</v>
      </c>
      <c r="E27" s="161">
        <v>21897.81</v>
      </c>
      <c r="F27" s="161">
        <v>25048.65</v>
      </c>
      <c r="G27" s="161">
        <f>24600+1400</f>
        <v>26000</v>
      </c>
      <c r="H27" s="161">
        <v>28600</v>
      </c>
      <c r="I27" s="161">
        <v>30000</v>
      </c>
      <c r="J27" s="161">
        <v>32000</v>
      </c>
      <c r="K27" s="161">
        <v>34000</v>
      </c>
      <c r="L27" s="3"/>
      <c r="M27" s="3"/>
      <c r="N27" s="178"/>
      <c r="O27" s="3"/>
      <c r="P27" s="3"/>
    </row>
    <row r="28" spans="1:16" ht="12.75">
      <c r="A28" s="462">
        <v>23</v>
      </c>
      <c r="B28" s="853"/>
      <c r="C28" s="487">
        <v>620</v>
      </c>
      <c r="D28" s="489" t="s">
        <v>276</v>
      </c>
      <c r="E28" s="161">
        <v>7707.66</v>
      </c>
      <c r="F28" s="161">
        <v>8529.11</v>
      </c>
      <c r="G28" s="161">
        <f>G27*0.3495</f>
        <v>9087</v>
      </c>
      <c r="H28" s="161">
        <v>9995.7</v>
      </c>
      <c r="I28" s="161">
        <f>I27*0.3495</f>
        <v>10485</v>
      </c>
      <c r="J28" s="161">
        <f>J27*0.3495</f>
        <v>11184</v>
      </c>
      <c r="K28" s="161">
        <f>K27*0.3495</f>
        <v>11883</v>
      </c>
      <c r="L28" s="3"/>
      <c r="M28" s="3"/>
      <c r="N28" s="3"/>
      <c r="O28" s="3"/>
      <c r="P28" s="3"/>
    </row>
    <row r="29" spans="1:16" ht="24">
      <c r="A29" s="462">
        <v>24</v>
      </c>
      <c r="B29" s="471"/>
      <c r="C29" s="726" t="s">
        <v>218</v>
      </c>
      <c r="D29" s="482" t="s">
        <v>277</v>
      </c>
      <c r="E29" s="148">
        <v>3373.26</v>
      </c>
      <c r="F29" s="148">
        <v>2359.06</v>
      </c>
      <c r="G29" s="148">
        <v>4000</v>
      </c>
      <c r="H29" s="148">
        <v>8000</v>
      </c>
      <c r="I29" s="148">
        <v>4000</v>
      </c>
      <c r="J29" s="148">
        <v>4000</v>
      </c>
      <c r="K29" s="148">
        <v>4000</v>
      </c>
      <c r="L29" s="149"/>
      <c r="M29" s="3"/>
      <c r="N29" s="3"/>
      <c r="O29" s="3"/>
      <c r="P29" s="3"/>
    </row>
    <row r="30" spans="1:16" ht="12.75">
      <c r="A30" s="462">
        <v>25</v>
      </c>
      <c r="B30" s="471"/>
      <c r="C30" s="726" t="s">
        <v>218</v>
      </c>
      <c r="D30" s="482" t="s">
        <v>566</v>
      </c>
      <c r="E30" s="148">
        <v>0</v>
      </c>
      <c r="F30" s="148">
        <v>0</v>
      </c>
      <c r="G30" s="148">
        <v>100</v>
      </c>
      <c r="H30" s="148">
        <v>310</v>
      </c>
      <c r="I30" s="148">
        <v>400</v>
      </c>
      <c r="J30" s="148">
        <v>400</v>
      </c>
      <c r="K30" s="148">
        <v>400</v>
      </c>
      <c r="L30" s="149"/>
      <c r="M30" s="3"/>
      <c r="N30" s="3"/>
      <c r="O30" s="3"/>
      <c r="P30" s="3"/>
    </row>
    <row r="31" spans="1:16" ht="12.75">
      <c r="A31" s="462">
        <v>26</v>
      </c>
      <c r="B31" s="471"/>
      <c r="C31" s="726" t="s">
        <v>218</v>
      </c>
      <c r="D31" s="489" t="s">
        <v>484</v>
      </c>
      <c r="E31" s="148">
        <v>4662.77</v>
      </c>
      <c r="F31" s="148">
        <v>8038.93</v>
      </c>
      <c r="G31" s="148">
        <v>7000</v>
      </c>
      <c r="H31" s="148">
        <v>7000</v>
      </c>
      <c r="I31" s="148">
        <v>7000</v>
      </c>
      <c r="J31" s="148">
        <v>7000</v>
      </c>
      <c r="K31" s="148">
        <v>7000</v>
      </c>
      <c r="L31" s="149"/>
      <c r="M31" s="3"/>
      <c r="N31" s="3"/>
      <c r="O31" s="3"/>
      <c r="P31" s="3"/>
    </row>
    <row r="32" spans="1:16" ht="24.75" customHeight="1">
      <c r="A32" s="462">
        <v>27</v>
      </c>
      <c r="B32" s="471"/>
      <c r="C32" s="726" t="s">
        <v>218</v>
      </c>
      <c r="D32" s="757" t="s">
        <v>485</v>
      </c>
      <c r="E32" s="148">
        <v>29.52</v>
      </c>
      <c r="F32" s="148">
        <v>95.7</v>
      </c>
      <c r="G32" s="148">
        <f>755-405</f>
        <v>350</v>
      </c>
      <c r="H32" s="148">
        <v>200</v>
      </c>
      <c r="I32" s="148">
        <v>0</v>
      </c>
      <c r="J32" s="148">
        <v>0</v>
      </c>
      <c r="K32" s="148">
        <v>0</v>
      </c>
      <c r="L32" s="1486" t="s">
        <v>655</v>
      </c>
      <c r="M32" s="1486"/>
      <c r="N32" s="1486"/>
      <c r="O32" s="3"/>
      <c r="P32" s="3"/>
    </row>
    <row r="33" spans="1:12" ht="13.5" thickBot="1">
      <c r="A33" s="734">
        <v>28</v>
      </c>
      <c r="B33" s="854"/>
      <c r="C33" s="735" t="s">
        <v>218</v>
      </c>
      <c r="D33" s="855" t="s">
        <v>486</v>
      </c>
      <c r="E33" s="150">
        <v>125</v>
      </c>
      <c r="F33" s="150">
        <v>135</v>
      </c>
      <c r="G33" s="150">
        <v>120</v>
      </c>
      <c r="H33" s="150">
        <v>120</v>
      </c>
      <c r="I33" s="150">
        <v>120</v>
      </c>
      <c r="J33" s="150">
        <v>120</v>
      </c>
      <c r="K33" s="150">
        <v>120</v>
      </c>
      <c r="L33" s="149"/>
    </row>
    <row r="34" spans="1:12" ht="12.75">
      <c r="A34" s="312"/>
      <c r="B34" s="309"/>
      <c r="C34" s="310"/>
      <c r="D34" s="311"/>
      <c r="E34" s="149"/>
      <c r="F34" s="149"/>
      <c r="G34" s="149"/>
      <c r="H34" s="149"/>
      <c r="I34" s="149"/>
      <c r="J34" s="149"/>
      <c r="K34" s="149"/>
      <c r="L34" s="149"/>
    </row>
    <row r="35" spans="1:12" ht="12.75">
      <c r="A35" s="345" t="s">
        <v>756</v>
      </c>
      <c r="B35" s="1296" t="s">
        <v>757</v>
      </c>
      <c r="C35" s="310"/>
      <c r="D35" s="311"/>
      <c r="E35" s="149"/>
      <c r="F35" s="149"/>
      <c r="G35" s="149"/>
      <c r="H35" s="149"/>
      <c r="I35" s="149"/>
      <c r="J35" s="149"/>
      <c r="K35" s="149"/>
      <c r="L35" s="149"/>
    </row>
    <row r="36" spans="1:11" ht="12.75">
      <c r="A36" s="312"/>
      <c r="B36" s="1296" t="s">
        <v>509</v>
      </c>
      <c r="C36" s="310"/>
      <c r="D36" s="311"/>
      <c r="E36" s="149"/>
      <c r="F36" s="149"/>
      <c r="G36" s="149"/>
      <c r="H36" s="149"/>
      <c r="I36" s="149"/>
      <c r="J36" s="149"/>
      <c r="K36" s="149"/>
    </row>
    <row r="37" spans="1:11" ht="12.75">
      <c r="A37" s="312"/>
      <c r="B37" s="309"/>
      <c r="C37" s="310"/>
      <c r="D37" s="311"/>
      <c r="E37" s="149"/>
      <c r="F37" s="149"/>
      <c r="G37" s="149"/>
      <c r="H37" s="149"/>
      <c r="I37" s="149"/>
      <c r="J37" s="149"/>
      <c r="K37" s="149"/>
    </row>
    <row r="38" spans="1:11" ht="12.75">
      <c r="A38" s="312"/>
      <c r="B38" s="309"/>
      <c r="C38" s="310"/>
      <c r="D38" s="311"/>
      <c r="E38" s="149"/>
      <c r="F38" s="149"/>
      <c r="G38" s="149"/>
      <c r="H38" s="149"/>
      <c r="I38" s="149"/>
      <c r="J38" s="149"/>
      <c r="K38" s="149"/>
    </row>
    <row r="39" spans="1:11" ht="12.75">
      <c r="A39" s="312"/>
      <c r="B39" s="309"/>
      <c r="C39" s="310"/>
      <c r="D39" s="311"/>
      <c r="E39" s="149"/>
      <c r="F39" s="149"/>
      <c r="G39" s="149"/>
      <c r="H39" s="149"/>
      <c r="I39" s="149"/>
      <c r="J39" s="149"/>
      <c r="K39" s="149"/>
    </row>
    <row r="40" spans="1:12" s="35" customFormat="1" ht="24" thickBot="1">
      <c r="A40" s="15"/>
      <c r="B40" s="85" t="s">
        <v>229</v>
      </c>
      <c r="C40"/>
      <c r="D40"/>
      <c r="E40"/>
      <c r="F40"/>
      <c r="G40"/>
      <c r="H40"/>
      <c r="L40" s="153"/>
    </row>
    <row r="41" spans="1:11" s="35" customFormat="1" ht="15.75" thickBot="1">
      <c r="A41" s="1475" t="s">
        <v>9</v>
      </c>
      <c r="B41" s="1476"/>
      <c r="C41" s="1476"/>
      <c r="D41" s="1485"/>
      <c r="E41" s="123" t="s">
        <v>262</v>
      </c>
      <c r="F41" s="123" t="s">
        <v>262</v>
      </c>
      <c r="G41" s="51" t="s">
        <v>263</v>
      </c>
      <c r="H41" s="51" t="s">
        <v>216</v>
      </c>
      <c r="I41" s="139" t="s">
        <v>12</v>
      </c>
      <c r="J41" s="128" t="s">
        <v>12</v>
      </c>
      <c r="K41" s="127" t="s">
        <v>12</v>
      </c>
    </row>
    <row r="42" spans="1:11" s="35" customFormat="1" ht="11.25">
      <c r="A42" s="25"/>
      <c r="B42" s="26"/>
      <c r="C42" s="27"/>
      <c r="D42" s="151"/>
      <c r="E42" s="80"/>
      <c r="F42" s="80"/>
      <c r="G42" s="125" t="s">
        <v>215</v>
      </c>
      <c r="H42" s="125" t="s">
        <v>217</v>
      </c>
      <c r="I42" s="140"/>
      <c r="J42" s="184" t="s">
        <v>320</v>
      </c>
      <c r="K42" s="184" t="s">
        <v>320</v>
      </c>
    </row>
    <row r="43" spans="1:11" s="35" customFormat="1" ht="15.75">
      <c r="A43" s="1466" t="s">
        <v>467</v>
      </c>
      <c r="B43" s="1468" t="s">
        <v>468</v>
      </c>
      <c r="C43" s="1468" t="s">
        <v>469</v>
      </c>
      <c r="D43" s="1470" t="s">
        <v>5</v>
      </c>
      <c r="E43" s="124" t="s">
        <v>272</v>
      </c>
      <c r="F43" s="124" t="s">
        <v>284</v>
      </c>
      <c r="G43" s="126">
        <v>2023</v>
      </c>
      <c r="H43" s="82" t="s">
        <v>332</v>
      </c>
      <c r="I43" s="141">
        <v>2024</v>
      </c>
      <c r="J43" s="130" t="s">
        <v>421</v>
      </c>
      <c r="K43" s="129">
        <v>2026</v>
      </c>
    </row>
    <row r="44" spans="1:11" s="35" customFormat="1" ht="12" thickBot="1">
      <c r="A44" s="1467"/>
      <c r="B44" s="1469"/>
      <c r="C44" s="1469"/>
      <c r="D44" s="1471"/>
      <c r="E44" s="83" t="s">
        <v>207</v>
      </c>
      <c r="F44" s="83" t="s">
        <v>207</v>
      </c>
      <c r="G44" s="84" t="s">
        <v>207</v>
      </c>
      <c r="H44" s="84" t="s">
        <v>207</v>
      </c>
      <c r="I44" s="142" t="s">
        <v>207</v>
      </c>
      <c r="J44" s="132" t="s">
        <v>207</v>
      </c>
      <c r="K44" s="131" t="s">
        <v>207</v>
      </c>
    </row>
    <row r="45" spans="1:11" s="35" customFormat="1" ht="13.5" thickBot="1" thickTop="1">
      <c r="A45" s="792">
        <v>1</v>
      </c>
      <c r="B45" s="459" t="s">
        <v>125</v>
      </c>
      <c r="C45" s="738"/>
      <c r="D45" s="856"/>
      <c r="E45" s="796">
        <f>E46</f>
        <v>0</v>
      </c>
      <c r="F45" s="796">
        <f>F46</f>
        <v>35448</v>
      </c>
      <c r="G45" s="857">
        <f>G46</f>
        <v>0</v>
      </c>
      <c r="H45" s="796">
        <f>H46+H52</f>
        <v>0</v>
      </c>
      <c r="I45" s="796">
        <f>I46+I52</f>
        <v>6500</v>
      </c>
      <c r="J45" s="796">
        <f>J46+J52</f>
        <v>0</v>
      </c>
      <c r="K45" s="796">
        <f>K46+K52</f>
        <v>0</v>
      </c>
    </row>
    <row r="46" spans="1:11" s="35" customFormat="1" ht="12.75" thickTop="1">
      <c r="A46" s="792">
        <v>2</v>
      </c>
      <c r="B46" s="483">
        <v>2</v>
      </c>
      <c r="C46" s="484" t="s">
        <v>73</v>
      </c>
      <c r="D46" s="858"/>
      <c r="E46" s="800">
        <f>E47+E49</f>
        <v>0</v>
      </c>
      <c r="F46" s="800">
        <f>F47+F49</f>
        <v>35448</v>
      </c>
      <c r="G46" s="859">
        <f>G47</f>
        <v>0</v>
      </c>
      <c r="H46" s="800">
        <f>H47+H49</f>
        <v>0</v>
      </c>
      <c r="I46" s="800">
        <f>I47+I49</f>
        <v>0</v>
      </c>
      <c r="J46" s="800">
        <f>J47+J49</f>
        <v>0</v>
      </c>
      <c r="K46" s="800">
        <f>K47+K49</f>
        <v>0</v>
      </c>
    </row>
    <row r="47" spans="1:11" ht="21" customHeight="1">
      <c r="A47" s="792">
        <v>3</v>
      </c>
      <c r="B47" s="851" t="s">
        <v>192</v>
      </c>
      <c r="C47" s="725" t="s">
        <v>104</v>
      </c>
      <c r="D47" s="803"/>
      <c r="E47" s="158">
        <f>E48</f>
        <v>0</v>
      </c>
      <c r="F47" s="158">
        <f>F48</f>
        <v>0</v>
      </c>
      <c r="G47" s="158">
        <f>G48</f>
        <v>0</v>
      </c>
      <c r="H47" s="158">
        <f>H48</f>
        <v>0</v>
      </c>
      <c r="I47" s="158">
        <f>I48</f>
        <v>0</v>
      </c>
      <c r="J47" s="158">
        <f>J48</f>
        <v>0</v>
      </c>
      <c r="K47" s="158">
        <f>K48</f>
        <v>0</v>
      </c>
    </row>
    <row r="48" spans="1:11" s="35" customFormat="1" ht="12">
      <c r="A48" s="860" t="s">
        <v>7</v>
      </c>
      <c r="B48" s="861"/>
      <c r="C48" s="862">
        <v>700</v>
      </c>
      <c r="D48" s="863" t="s">
        <v>345</v>
      </c>
      <c r="E48" s="864">
        <v>0</v>
      </c>
      <c r="F48" s="864">
        <v>0</v>
      </c>
      <c r="G48" s="865">
        <v>0</v>
      </c>
      <c r="H48" s="864">
        <v>0</v>
      </c>
      <c r="I48" s="866">
        <v>0</v>
      </c>
      <c r="J48" s="867">
        <v>0</v>
      </c>
      <c r="K48" s="868">
        <v>0</v>
      </c>
    </row>
    <row r="49" spans="1:11" ht="21" customHeight="1">
      <c r="A49" s="833">
        <v>5</v>
      </c>
      <c r="B49" s="869" t="s">
        <v>192</v>
      </c>
      <c r="C49" s="729" t="s">
        <v>73</v>
      </c>
      <c r="D49" s="870"/>
      <c r="E49" s="159">
        <f>E50</f>
        <v>0</v>
      </c>
      <c r="F49" s="159">
        <f>SUM(F50:F51)</f>
        <v>35448</v>
      </c>
      <c r="G49" s="159">
        <f>G50</f>
        <v>0</v>
      </c>
      <c r="H49" s="159">
        <f>H50+H51</f>
        <v>0</v>
      </c>
      <c r="I49" s="159">
        <f>I50</f>
        <v>0</v>
      </c>
      <c r="J49" s="159">
        <f>J50</f>
        <v>0</v>
      </c>
      <c r="K49" s="159">
        <f>K50</f>
        <v>0</v>
      </c>
    </row>
    <row r="50" spans="1:11" s="35" customFormat="1" ht="17.25" customHeight="1">
      <c r="A50" s="860" t="s">
        <v>283</v>
      </c>
      <c r="B50" s="861"/>
      <c r="C50" s="862">
        <v>700</v>
      </c>
      <c r="D50" s="871" t="s">
        <v>442</v>
      </c>
      <c r="E50" s="864">
        <v>0</v>
      </c>
      <c r="F50" s="864">
        <v>35058</v>
      </c>
      <c r="G50" s="865">
        <v>0</v>
      </c>
      <c r="H50" s="864">
        <v>0</v>
      </c>
      <c r="I50" s="866">
        <v>0</v>
      </c>
      <c r="J50" s="867">
        <v>0</v>
      </c>
      <c r="K50" s="868">
        <v>0</v>
      </c>
    </row>
    <row r="51" spans="1:11" s="35" customFormat="1" ht="24.75" thickBot="1">
      <c r="A51" s="872" t="s">
        <v>68</v>
      </c>
      <c r="B51" s="873"/>
      <c r="C51" s="874">
        <v>700</v>
      </c>
      <c r="D51" s="875" t="s">
        <v>443</v>
      </c>
      <c r="E51" s="876">
        <v>0</v>
      </c>
      <c r="F51" s="876">
        <v>390</v>
      </c>
      <c r="G51" s="877">
        <v>0</v>
      </c>
      <c r="H51" s="876">
        <v>0</v>
      </c>
      <c r="I51" s="878">
        <v>0</v>
      </c>
      <c r="J51" s="879">
        <v>0</v>
      </c>
      <c r="K51" s="880">
        <v>0</v>
      </c>
    </row>
    <row r="52" spans="1:11" s="35" customFormat="1" ht="24.75" customHeight="1">
      <c r="A52" s="881">
        <v>8</v>
      </c>
      <c r="B52" s="882">
        <v>1</v>
      </c>
      <c r="C52" s="1488" t="s">
        <v>600</v>
      </c>
      <c r="D52" s="1489"/>
      <c r="E52" s="883">
        <f>E53+E55</f>
        <v>0</v>
      </c>
      <c r="F52" s="883">
        <f>F53+F55</f>
        <v>0</v>
      </c>
      <c r="G52" s="884">
        <f>G53</f>
        <v>0</v>
      </c>
      <c r="H52" s="883">
        <f>H53</f>
        <v>0</v>
      </c>
      <c r="I52" s="883">
        <f>I53+I55</f>
        <v>6500</v>
      </c>
      <c r="J52" s="883">
        <f>J53+J55</f>
        <v>0</v>
      </c>
      <c r="K52" s="883">
        <f>K53+K55</f>
        <v>0</v>
      </c>
    </row>
    <row r="53" spans="1:11" s="35" customFormat="1" ht="12">
      <c r="A53" s="833">
        <v>9</v>
      </c>
      <c r="B53" s="869" t="s">
        <v>191</v>
      </c>
      <c r="C53" s="729" t="s">
        <v>3</v>
      </c>
      <c r="D53" s="870"/>
      <c r="E53" s="159">
        <f>E54</f>
        <v>0</v>
      </c>
      <c r="F53" s="159">
        <f>SUM(F54:F55)</f>
        <v>0</v>
      </c>
      <c r="G53" s="159">
        <f>G54</f>
        <v>0</v>
      </c>
      <c r="H53" s="159">
        <f>H54+H55</f>
        <v>0</v>
      </c>
      <c r="I53" s="159">
        <f>I54</f>
        <v>3535.63</v>
      </c>
      <c r="J53" s="159">
        <f>J54</f>
        <v>0</v>
      </c>
      <c r="K53" s="159">
        <f>K54</f>
        <v>0</v>
      </c>
    </row>
    <row r="54" spans="1:12" s="35" customFormat="1" ht="12">
      <c r="A54" s="860" t="s">
        <v>601</v>
      </c>
      <c r="B54" s="861"/>
      <c r="C54" s="862">
        <v>700</v>
      </c>
      <c r="D54" s="871" t="s">
        <v>763</v>
      </c>
      <c r="E54" s="864">
        <v>0</v>
      </c>
      <c r="F54" s="864">
        <v>0</v>
      </c>
      <c r="G54" s="865">
        <v>0</v>
      </c>
      <c r="H54" s="864">
        <v>0</v>
      </c>
      <c r="I54" s="866">
        <f>3035.63+500</f>
        <v>3535.63</v>
      </c>
      <c r="J54" s="867">
        <v>0</v>
      </c>
      <c r="K54" s="868">
        <v>0</v>
      </c>
      <c r="L54" s="162" t="s">
        <v>750</v>
      </c>
    </row>
    <row r="55" spans="1:11" s="35" customFormat="1" ht="36.75" thickBot="1">
      <c r="A55" s="872" t="s">
        <v>478</v>
      </c>
      <c r="B55" s="873"/>
      <c r="C55" s="874">
        <v>700</v>
      </c>
      <c r="D55" s="875" t="s">
        <v>764</v>
      </c>
      <c r="E55" s="876">
        <v>0</v>
      </c>
      <c r="F55" s="876">
        <v>0</v>
      </c>
      <c r="G55" s="877">
        <v>0</v>
      </c>
      <c r="H55" s="876">
        <v>0</v>
      </c>
      <c r="I55" s="878">
        <f>2814.29+150.08</f>
        <v>2964.37</v>
      </c>
      <c r="J55" s="879">
        <v>0</v>
      </c>
      <c r="K55" s="880">
        <v>0</v>
      </c>
    </row>
    <row r="56" spans="1:2" s="35" customFormat="1" ht="9.75">
      <c r="A56" s="29"/>
      <c r="B56" s="60"/>
    </row>
    <row r="57" spans="1:2" s="35" customFormat="1" ht="9.75">
      <c r="A57" s="29"/>
      <c r="B57" s="60"/>
    </row>
  </sheetData>
  <sheetProtection/>
  <mergeCells count="14">
    <mergeCell ref="C52:D52"/>
    <mergeCell ref="A43:A44"/>
    <mergeCell ref="B43:B44"/>
    <mergeCell ref="C43:C44"/>
    <mergeCell ref="D43:D44"/>
    <mergeCell ref="L22:N22"/>
    <mergeCell ref="A2:D2"/>
    <mergeCell ref="A41:D41"/>
    <mergeCell ref="A4:A5"/>
    <mergeCell ref="B4:B5"/>
    <mergeCell ref="C4:C5"/>
    <mergeCell ref="L32:N32"/>
    <mergeCell ref="L20:N20"/>
    <mergeCell ref="D4:D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="130" zoomScaleNormal="130" zoomScalePageLayoutView="0" workbookViewId="0" topLeftCell="A1">
      <selection activeCell="M25" sqref="M25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7.140625" style="0" customWidth="1"/>
    <col min="4" max="4" width="26.00390625" style="0" customWidth="1"/>
    <col min="5" max="6" width="10.57421875" style="0" bestFit="1" customWidth="1"/>
    <col min="7" max="7" width="9.28125" style="0" bestFit="1" customWidth="1"/>
    <col min="8" max="8" width="10.57421875" style="0" bestFit="1" customWidth="1"/>
    <col min="9" max="9" width="9.421875" style="0" bestFit="1" customWidth="1"/>
    <col min="10" max="10" width="8.7109375" style="0" bestFit="1" customWidth="1"/>
    <col min="11" max="11" width="8.57421875" style="0" bestFit="1" customWidth="1"/>
  </cols>
  <sheetData>
    <row r="1" spans="1:2" ht="15" thickBot="1">
      <c r="A1" s="15"/>
      <c r="B1" s="85" t="s">
        <v>230</v>
      </c>
    </row>
    <row r="2" spans="1:11" ht="15.75" thickBot="1">
      <c r="A2" s="1464" t="s">
        <v>10</v>
      </c>
      <c r="B2" s="1465"/>
      <c r="C2" s="1465"/>
      <c r="D2" s="1465"/>
      <c r="E2" s="123" t="s">
        <v>262</v>
      </c>
      <c r="F2" s="123" t="s">
        <v>262</v>
      </c>
      <c r="G2" s="51" t="s">
        <v>263</v>
      </c>
      <c r="H2" s="51" t="s">
        <v>216</v>
      </c>
      <c r="I2" s="139" t="s">
        <v>12</v>
      </c>
      <c r="J2" s="128" t="s">
        <v>12</v>
      </c>
      <c r="K2" s="127" t="s">
        <v>12</v>
      </c>
    </row>
    <row r="3" spans="1:11" ht="12.75">
      <c r="A3" s="54"/>
      <c r="B3" s="1494"/>
      <c r="C3" s="1495"/>
      <c r="D3" s="1495"/>
      <c r="E3" s="80"/>
      <c r="F3" s="80"/>
      <c r="G3" s="125" t="s">
        <v>215</v>
      </c>
      <c r="H3" s="125" t="s">
        <v>217</v>
      </c>
      <c r="I3" s="140"/>
      <c r="J3" s="184" t="s">
        <v>320</v>
      </c>
      <c r="K3" s="184" t="s">
        <v>320</v>
      </c>
    </row>
    <row r="4" spans="1:1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124" t="s">
        <v>272</v>
      </c>
      <c r="F4" s="124" t="s">
        <v>284</v>
      </c>
      <c r="G4" s="126">
        <v>2023</v>
      </c>
      <c r="H4" s="82" t="s">
        <v>332</v>
      </c>
      <c r="I4" s="141">
        <v>2024</v>
      </c>
      <c r="J4" s="130" t="s">
        <v>421</v>
      </c>
      <c r="K4" s="129">
        <v>2026</v>
      </c>
    </row>
    <row r="5" spans="1:11" ht="13.5" thickBot="1">
      <c r="A5" s="1467"/>
      <c r="B5" s="1469"/>
      <c r="C5" s="1469"/>
      <c r="D5" s="1471"/>
      <c r="E5" s="83" t="s">
        <v>207</v>
      </c>
      <c r="F5" s="83" t="s">
        <v>207</v>
      </c>
      <c r="G5" s="84" t="s">
        <v>207</v>
      </c>
      <c r="H5" s="84" t="s">
        <v>207</v>
      </c>
      <c r="I5" s="142" t="s">
        <v>207</v>
      </c>
      <c r="J5" s="132" t="s">
        <v>207</v>
      </c>
      <c r="K5" s="131" t="s">
        <v>207</v>
      </c>
    </row>
    <row r="6" spans="1:11" ht="14.25" thickBot="1" thickTop="1">
      <c r="A6" s="759">
        <v>1</v>
      </c>
      <c r="B6" s="459" t="s">
        <v>105</v>
      </c>
      <c r="C6" s="738"/>
      <c r="D6" s="461"/>
      <c r="E6" s="885">
        <f aca="true" t="shared" si="0" ref="E6:K7">E7</f>
        <v>2298.2</v>
      </c>
      <c r="F6" s="885">
        <f t="shared" si="0"/>
        <v>2506.32</v>
      </c>
      <c r="G6" s="885">
        <f t="shared" si="0"/>
        <v>2889</v>
      </c>
      <c r="H6" s="885">
        <f t="shared" si="0"/>
        <v>5891.41</v>
      </c>
      <c r="I6" s="885">
        <f t="shared" si="0"/>
        <v>1891.41</v>
      </c>
      <c r="J6" s="885">
        <f t="shared" si="0"/>
        <v>1891.41</v>
      </c>
      <c r="K6" s="885">
        <f t="shared" si="0"/>
        <v>2891.41</v>
      </c>
    </row>
    <row r="7" spans="1:11" ht="13.5" thickTop="1">
      <c r="A7" s="774">
        <v>2</v>
      </c>
      <c r="B7" s="763">
        <v>1</v>
      </c>
      <c r="C7" s="764" t="s">
        <v>231</v>
      </c>
      <c r="D7" s="765"/>
      <c r="E7" s="886">
        <f t="shared" si="0"/>
        <v>2298.2</v>
      </c>
      <c r="F7" s="886">
        <f t="shared" si="0"/>
        <v>2506.32</v>
      </c>
      <c r="G7" s="886">
        <f t="shared" si="0"/>
        <v>2889</v>
      </c>
      <c r="H7" s="886">
        <f t="shared" si="0"/>
        <v>5891.41</v>
      </c>
      <c r="I7" s="886">
        <f t="shared" si="0"/>
        <v>1891.41</v>
      </c>
      <c r="J7" s="886">
        <f t="shared" si="0"/>
        <v>1891.41</v>
      </c>
      <c r="K7" s="886">
        <f t="shared" si="0"/>
        <v>2891.41</v>
      </c>
    </row>
    <row r="8" spans="1:11" ht="12.75">
      <c r="A8" s="774">
        <v>3</v>
      </c>
      <c r="B8" s="887" t="s">
        <v>193</v>
      </c>
      <c r="C8" s="888" t="s">
        <v>75</v>
      </c>
      <c r="D8" s="889"/>
      <c r="E8" s="890">
        <f>E9+E10+E11+E12</f>
        <v>2298.2</v>
      </c>
      <c r="F8" s="890">
        <f>F9+F10+F11+F12</f>
        <v>2506.32</v>
      </c>
      <c r="G8" s="890">
        <f>SUM(G9:G12)</f>
        <v>2889</v>
      </c>
      <c r="H8" s="890">
        <f>SUM(H9:H12)</f>
        <v>5891.41</v>
      </c>
      <c r="I8" s="890">
        <f>SUM(I9:I12)</f>
        <v>1891.41</v>
      </c>
      <c r="J8" s="890">
        <f>SUM(J9:J12)</f>
        <v>1891.41</v>
      </c>
      <c r="K8" s="890">
        <f>SUM(K9:K12)</f>
        <v>2891.41</v>
      </c>
    </row>
    <row r="9" spans="1:12" ht="12.75">
      <c r="A9" s="774">
        <v>4</v>
      </c>
      <c r="B9" s="891"/>
      <c r="C9" s="892" t="s">
        <v>218</v>
      </c>
      <c r="D9" s="482" t="s">
        <v>480</v>
      </c>
      <c r="E9" s="893">
        <v>1711.97</v>
      </c>
      <c r="F9" s="893">
        <v>2418.15</v>
      </c>
      <c r="G9" s="893">
        <v>2000</v>
      </c>
      <c r="H9" s="893">
        <v>5000</v>
      </c>
      <c r="I9" s="1300">
        <v>1000</v>
      </c>
      <c r="J9" s="893">
        <v>1000</v>
      </c>
      <c r="K9" s="893">
        <v>2000</v>
      </c>
      <c r="L9" s="3" t="s">
        <v>758</v>
      </c>
    </row>
    <row r="10" spans="1:11" ht="12.75">
      <c r="A10" s="894">
        <v>6</v>
      </c>
      <c r="B10" s="891"/>
      <c r="C10" s="895" t="s">
        <v>218</v>
      </c>
      <c r="D10" s="896" t="s">
        <v>278</v>
      </c>
      <c r="E10" s="897">
        <v>86.23</v>
      </c>
      <c r="F10" s="897">
        <v>88.17</v>
      </c>
      <c r="G10" s="897">
        <v>89</v>
      </c>
      <c r="H10" s="897">
        <v>91.41</v>
      </c>
      <c r="I10" s="897">
        <f>'Bežné príjmy'!K87</f>
        <v>91.41</v>
      </c>
      <c r="J10" s="897">
        <f>'Bežné príjmy'!L87</f>
        <v>91.41</v>
      </c>
      <c r="K10" s="897">
        <f>'Bežné príjmy'!M87</f>
        <v>91.41</v>
      </c>
    </row>
    <row r="11" spans="1:11" ht="12.75">
      <c r="A11" s="894">
        <v>7</v>
      </c>
      <c r="B11" s="898"/>
      <c r="C11" s="895" t="s">
        <v>218</v>
      </c>
      <c r="D11" s="896" t="s">
        <v>166</v>
      </c>
      <c r="E11" s="897">
        <v>0</v>
      </c>
      <c r="F11" s="897">
        <v>0</v>
      </c>
      <c r="G11" s="897">
        <v>500</v>
      </c>
      <c r="H11" s="897">
        <v>500</v>
      </c>
      <c r="I11" s="897">
        <v>500</v>
      </c>
      <c r="J11" s="897">
        <v>500</v>
      </c>
      <c r="K11" s="897">
        <v>500</v>
      </c>
    </row>
    <row r="12" spans="1:11" ht="13.5" thickBot="1">
      <c r="A12" s="899">
        <v>8</v>
      </c>
      <c r="B12" s="900"/>
      <c r="C12" s="901" t="s">
        <v>218</v>
      </c>
      <c r="D12" s="902" t="s">
        <v>167</v>
      </c>
      <c r="E12" s="903">
        <v>500</v>
      </c>
      <c r="F12" s="903">
        <v>0</v>
      </c>
      <c r="G12" s="903">
        <v>300</v>
      </c>
      <c r="H12" s="903">
        <v>300</v>
      </c>
      <c r="I12" s="903">
        <v>300</v>
      </c>
      <c r="J12" s="903">
        <v>300</v>
      </c>
      <c r="K12" s="903">
        <v>300</v>
      </c>
    </row>
    <row r="14" spans="2:4" s="35" customFormat="1" ht="9.75">
      <c r="B14" s="29"/>
      <c r="D14" s="67"/>
    </row>
    <row r="15" spans="1:11" s="35" customFormat="1" ht="15" thickBot="1">
      <c r="A15" s="15"/>
      <c r="B15" s="85" t="s">
        <v>230</v>
      </c>
      <c r="C15"/>
      <c r="D15"/>
      <c r="E15"/>
      <c r="F15"/>
      <c r="G15"/>
      <c r="H15"/>
      <c r="I15"/>
      <c r="J15"/>
      <c r="K15"/>
    </row>
    <row r="16" spans="1:11" s="35" customFormat="1" ht="15.75" thickBot="1">
      <c r="A16" s="1464" t="s">
        <v>9</v>
      </c>
      <c r="B16" s="1465"/>
      <c r="C16" s="1465"/>
      <c r="D16" s="1465"/>
      <c r="E16" s="123" t="s">
        <v>262</v>
      </c>
      <c r="F16" s="123" t="s">
        <v>262</v>
      </c>
      <c r="G16" s="51" t="s">
        <v>263</v>
      </c>
      <c r="H16" s="51" t="s">
        <v>216</v>
      </c>
      <c r="I16" s="139" t="s">
        <v>12</v>
      </c>
      <c r="J16" s="128" t="s">
        <v>12</v>
      </c>
      <c r="K16" s="127" t="s">
        <v>12</v>
      </c>
    </row>
    <row r="17" spans="1:11" s="35" customFormat="1" ht="11.25">
      <c r="A17" s="54"/>
      <c r="B17" s="1494"/>
      <c r="C17" s="1495"/>
      <c r="D17" s="1495"/>
      <c r="E17" s="80"/>
      <c r="F17" s="80"/>
      <c r="G17" s="125" t="s">
        <v>215</v>
      </c>
      <c r="H17" s="125" t="s">
        <v>217</v>
      </c>
      <c r="I17" s="140"/>
      <c r="J17" s="184" t="s">
        <v>320</v>
      </c>
      <c r="K17" s="184" t="s">
        <v>320</v>
      </c>
    </row>
    <row r="18" spans="1:11" s="35" customFormat="1" ht="15.75">
      <c r="A18" s="1466" t="s">
        <v>467</v>
      </c>
      <c r="B18" s="1468" t="s">
        <v>468</v>
      </c>
      <c r="C18" s="1468" t="s">
        <v>469</v>
      </c>
      <c r="D18" s="1470" t="s">
        <v>5</v>
      </c>
      <c r="E18" s="124" t="s">
        <v>272</v>
      </c>
      <c r="F18" s="124" t="s">
        <v>284</v>
      </c>
      <c r="G18" s="126">
        <v>2023</v>
      </c>
      <c r="H18" s="82" t="s">
        <v>332</v>
      </c>
      <c r="I18" s="141">
        <v>2024</v>
      </c>
      <c r="J18" s="130" t="s">
        <v>421</v>
      </c>
      <c r="K18" s="129">
        <v>2026</v>
      </c>
    </row>
    <row r="19" spans="1:11" s="35" customFormat="1" ht="12" thickBot="1">
      <c r="A19" s="1467"/>
      <c r="B19" s="1469"/>
      <c r="C19" s="1469"/>
      <c r="D19" s="1471"/>
      <c r="E19" s="83" t="s">
        <v>207</v>
      </c>
      <c r="F19" s="83" t="s">
        <v>207</v>
      </c>
      <c r="G19" s="84" t="s">
        <v>207</v>
      </c>
      <c r="H19" s="84" t="s">
        <v>207</v>
      </c>
      <c r="I19" s="142" t="s">
        <v>207</v>
      </c>
      <c r="J19" s="132" t="s">
        <v>207</v>
      </c>
      <c r="K19" s="131" t="s">
        <v>207</v>
      </c>
    </row>
    <row r="20" spans="1:11" s="35" customFormat="1" ht="13.5" thickBot="1" thickTop="1">
      <c r="A20" s="759">
        <v>1</v>
      </c>
      <c r="B20" s="459" t="s">
        <v>105</v>
      </c>
      <c r="C20" s="738"/>
      <c r="D20" s="461"/>
      <c r="E20" s="885">
        <f aca="true" t="shared" si="1" ref="E20:K21">E21</f>
        <v>128101.8</v>
      </c>
      <c r="F20" s="885">
        <f t="shared" si="1"/>
        <v>32164.379999999997</v>
      </c>
      <c r="G20" s="885">
        <f t="shared" si="1"/>
        <v>0</v>
      </c>
      <c r="H20" s="885">
        <f t="shared" si="1"/>
        <v>3240</v>
      </c>
      <c r="I20" s="885">
        <f t="shared" si="1"/>
        <v>79219</v>
      </c>
      <c r="J20" s="885">
        <f t="shared" si="1"/>
        <v>0</v>
      </c>
      <c r="K20" s="885">
        <f t="shared" si="1"/>
        <v>0</v>
      </c>
    </row>
    <row r="21" spans="1:11" ht="13.5" thickTop="1">
      <c r="A21" s="774">
        <v>2</v>
      </c>
      <c r="B21" s="763">
        <v>1</v>
      </c>
      <c r="C21" s="764" t="s">
        <v>231</v>
      </c>
      <c r="D21" s="765"/>
      <c r="E21" s="886">
        <f t="shared" si="1"/>
        <v>128101.8</v>
      </c>
      <c r="F21" s="886">
        <f t="shared" si="1"/>
        <v>32164.379999999997</v>
      </c>
      <c r="G21" s="886">
        <f t="shared" si="1"/>
        <v>0</v>
      </c>
      <c r="H21" s="886">
        <f t="shared" si="1"/>
        <v>3240</v>
      </c>
      <c r="I21" s="886">
        <f t="shared" si="1"/>
        <v>79219</v>
      </c>
      <c r="J21" s="886">
        <f t="shared" si="1"/>
        <v>0</v>
      </c>
      <c r="K21" s="886">
        <f t="shared" si="1"/>
        <v>0</v>
      </c>
    </row>
    <row r="22" spans="1:11" ht="12.75">
      <c r="A22" s="774">
        <v>3</v>
      </c>
      <c r="B22" s="887" t="s">
        <v>193</v>
      </c>
      <c r="C22" s="888" t="s">
        <v>75</v>
      </c>
      <c r="D22" s="889"/>
      <c r="E22" s="890">
        <f>SUM(E24:E25)</f>
        <v>128101.8</v>
      </c>
      <c r="F22" s="890">
        <f>SUM(F24:F26)</f>
        <v>32164.379999999997</v>
      </c>
      <c r="G22" s="890">
        <f>SUM(G24:G26)</f>
        <v>0</v>
      </c>
      <c r="H22" s="890">
        <f>SUM(H23:H26)</f>
        <v>3240</v>
      </c>
      <c r="I22" s="890">
        <f>SUM(I23:I26)</f>
        <v>79219</v>
      </c>
      <c r="J22" s="890">
        <f>SUM(J23:J26)</f>
        <v>0</v>
      </c>
      <c r="K22" s="890">
        <f>SUM(K23:K26)</f>
        <v>0</v>
      </c>
    </row>
    <row r="23" spans="1:11" ht="24">
      <c r="A23" s="462">
        <v>4</v>
      </c>
      <c r="B23" s="904"/>
      <c r="C23" s="905" t="s">
        <v>222</v>
      </c>
      <c r="D23" s="482" t="s">
        <v>568</v>
      </c>
      <c r="E23" s="906">
        <v>0</v>
      </c>
      <c r="F23" s="906">
        <v>0</v>
      </c>
      <c r="G23" s="906">
        <v>0</v>
      </c>
      <c r="H23" s="906">
        <v>3240</v>
      </c>
      <c r="I23" s="906">
        <v>0</v>
      </c>
      <c r="J23" s="906">
        <v>0</v>
      </c>
      <c r="K23" s="906">
        <v>0</v>
      </c>
    </row>
    <row r="24" spans="1:12" s="121" customFormat="1" ht="24">
      <c r="A24" s="462">
        <v>5</v>
      </c>
      <c r="B24" s="904"/>
      <c r="C24" s="905" t="s">
        <v>222</v>
      </c>
      <c r="D24" s="482" t="s">
        <v>759</v>
      </c>
      <c r="E24" s="906">
        <v>110281.8</v>
      </c>
      <c r="F24" s="906">
        <v>27355.37</v>
      </c>
      <c r="G24" s="906">
        <v>0</v>
      </c>
      <c r="H24" s="906">
        <v>0</v>
      </c>
      <c r="I24" s="907">
        <v>79219</v>
      </c>
      <c r="J24" s="906">
        <v>0</v>
      </c>
      <c r="K24" s="906">
        <v>0</v>
      </c>
      <c r="L24" s="406" t="s">
        <v>659</v>
      </c>
    </row>
    <row r="25" spans="1:11" s="121" customFormat="1" ht="36">
      <c r="A25" s="462">
        <v>6</v>
      </c>
      <c r="B25" s="908"/>
      <c r="C25" s="905" t="s">
        <v>222</v>
      </c>
      <c r="D25" s="482" t="s">
        <v>370</v>
      </c>
      <c r="E25" s="906">
        <v>17820</v>
      </c>
      <c r="F25" s="906">
        <v>0</v>
      </c>
      <c r="G25" s="906">
        <v>0</v>
      </c>
      <c r="H25" s="906">
        <v>0</v>
      </c>
      <c r="I25" s="906">
        <v>0</v>
      </c>
      <c r="J25" s="906">
        <v>0</v>
      </c>
      <c r="K25" s="906">
        <v>0</v>
      </c>
    </row>
    <row r="26" spans="1:11" s="121" customFormat="1" ht="24.75" thickBot="1">
      <c r="A26" s="909">
        <v>7</v>
      </c>
      <c r="B26" s="910"/>
      <c r="C26" s="911" t="s">
        <v>222</v>
      </c>
      <c r="D26" s="912" t="s">
        <v>399</v>
      </c>
      <c r="E26" s="913">
        <v>0</v>
      </c>
      <c r="F26" s="913">
        <v>4809.01</v>
      </c>
      <c r="G26" s="913">
        <v>0</v>
      </c>
      <c r="H26" s="913">
        <v>0</v>
      </c>
      <c r="I26" s="913">
        <v>0</v>
      </c>
      <c r="J26" s="913">
        <v>0</v>
      </c>
      <c r="K26" s="913">
        <v>0</v>
      </c>
    </row>
    <row r="28" spans="4:10" ht="12.75">
      <c r="D28" s="290"/>
      <c r="E28" s="290"/>
      <c r="F28" s="290"/>
      <c r="G28" s="290"/>
      <c r="H28" s="290"/>
      <c r="I28" s="290"/>
      <c r="J28" s="290"/>
    </row>
    <row r="29" spans="4:10" s="121" customFormat="1" ht="12.75">
      <c r="D29" s="383" t="s">
        <v>643</v>
      </c>
      <c r="E29" s="1289"/>
      <c r="F29" s="162"/>
      <c r="G29" s="162"/>
      <c r="H29" s="162"/>
      <c r="I29" s="162"/>
      <c r="J29" s="162"/>
    </row>
    <row r="30" spans="4:11" s="121" customFormat="1" ht="12.75">
      <c r="D30" s="1493" t="s">
        <v>644</v>
      </c>
      <c r="E30" s="1493"/>
      <c r="F30" s="1493"/>
      <c r="G30" s="1493"/>
      <c r="H30" s="1493"/>
      <c r="I30" s="1493"/>
      <c r="J30" s="1493"/>
      <c r="K30" s="1493"/>
    </row>
    <row r="31" spans="4:11" s="121" customFormat="1" ht="12.75">
      <c r="D31" s="1493" t="s">
        <v>645</v>
      </c>
      <c r="E31" s="1493"/>
      <c r="F31" s="1493"/>
      <c r="G31" s="1493"/>
      <c r="H31" s="1493"/>
      <c r="I31" s="1493"/>
      <c r="J31" s="1493"/>
      <c r="K31" s="1493"/>
    </row>
    <row r="32" spans="4:11" s="121" customFormat="1" ht="12.75">
      <c r="D32" s="1493" t="s">
        <v>646</v>
      </c>
      <c r="E32" s="1493"/>
      <c r="F32" s="1493"/>
      <c r="G32" s="1493"/>
      <c r="H32" s="1493"/>
      <c r="I32" s="1493"/>
      <c r="J32" s="1493"/>
      <c r="K32" s="1493"/>
    </row>
    <row r="33" spans="4:11" s="121" customFormat="1" ht="12.75">
      <c r="D33" s="1492" t="s">
        <v>765</v>
      </c>
      <c r="E33" s="1492"/>
      <c r="F33" s="1492"/>
      <c r="G33" s="1492"/>
      <c r="H33" s="1492"/>
      <c r="I33" s="1492"/>
      <c r="J33" s="1492"/>
      <c r="K33" s="1492"/>
    </row>
    <row r="34" spans="4:11" s="121" customFormat="1" ht="12.75">
      <c r="D34" s="1492" t="s">
        <v>747</v>
      </c>
      <c r="E34" s="1492"/>
      <c r="F34" s="1492"/>
      <c r="G34" s="1492"/>
      <c r="H34" s="1492"/>
      <c r="I34" s="1492"/>
      <c r="J34" s="1492"/>
      <c r="K34" s="1492"/>
    </row>
    <row r="35" s="121" customFormat="1" ht="12.75"/>
    <row r="36" s="121" customFormat="1" ht="12.75"/>
  </sheetData>
  <sheetProtection/>
  <mergeCells count="17">
    <mergeCell ref="B4:B5"/>
    <mergeCell ref="C4:C5"/>
    <mergeCell ref="D4:D5"/>
    <mergeCell ref="A18:A19"/>
    <mergeCell ref="B18:B19"/>
    <mergeCell ref="C18:C19"/>
    <mergeCell ref="D18:D19"/>
    <mergeCell ref="D33:K33"/>
    <mergeCell ref="D34:K34"/>
    <mergeCell ref="D30:K30"/>
    <mergeCell ref="D31:K31"/>
    <mergeCell ref="D32:K32"/>
    <mergeCell ref="A2:D2"/>
    <mergeCell ref="B3:D3"/>
    <mergeCell ref="A16:D16"/>
    <mergeCell ref="B17:D17"/>
    <mergeCell ref="A4:A5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5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O72" sqref="O72"/>
    </sheetView>
  </sheetViews>
  <sheetFormatPr defaultColWidth="9.140625" defaultRowHeight="12.75"/>
  <cols>
    <col min="1" max="1" width="2.57421875" style="0" customWidth="1"/>
    <col min="2" max="3" width="5.28125" style="0" customWidth="1"/>
    <col min="4" max="4" width="25.7109375" style="0" customWidth="1"/>
    <col min="5" max="5" width="10.421875" style="0" bestFit="1" customWidth="1"/>
    <col min="6" max="8" width="11.8515625" style="0" bestFit="1" customWidth="1"/>
    <col min="9" max="9" width="11.8515625" style="0" customWidth="1"/>
    <col min="10" max="10" width="11.421875" style="0" customWidth="1"/>
    <col min="11" max="11" width="11.8515625" style="0" bestFit="1" customWidth="1"/>
    <col min="12" max="14" width="9.421875" style="30" customWidth="1"/>
    <col min="16" max="16" width="10.140625" style="0" bestFit="1" customWidth="1"/>
    <col min="17" max="17" width="9.140625" style="178" customWidth="1"/>
    <col min="18" max="18" width="10.140625" style="178" bestFit="1" customWidth="1"/>
  </cols>
  <sheetData>
    <row r="1" spans="1:18" s="121" customFormat="1" ht="15" thickBot="1">
      <c r="A1" s="222"/>
      <c r="B1" s="223" t="s">
        <v>232</v>
      </c>
      <c r="L1" s="224"/>
      <c r="M1" s="224"/>
      <c r="N1" s="224"/>
      <c r="Q1" s="178"/>
      <c r="R1" s="178"/>
    </row>
    <row r="2" spans="1:18" s="121" customFormat="1" ht="15.75" thickBot="1">
      <c r="A2" s="1496" t="s">
        <v>10</v>
      </c>
      <c r="B2" s="1497"/>
      <c r="C2" s="1497"/>
      <c r="D2" s="1497"/>
      <c r="E2" s="225" t="s">
        <v>262</v>
      </c>
      <c r="F2" s="225" t="s">
        <v>262</v>
      </c>
      <c r="G2" s="226" t="s">
        <v>263</v>
      </c>
      <c r="H2" s="226" t="s">
        <v>216</v>
      </c>
      <c r="I2" s="227" t="s">
        <v>12</v>
      </c>
      <c r="J2" s="228" t="s">
        <v>12</v>
      </c>
      <c r="K2" s="229" t="s">
        <v>12</v>
      </c>
      <c r="L2" s="230"/>
      <c r="M2" s="230"/>
      <c r="N2" s="230"/>
      <c r="Q2" s="162"/>
      <c r="R2" s="178"/>
    </row>
    <row r="3" spans="1:18" s="121" customFormat="1" ht="12.75">
      <c r="A3" s="102"/>
      <c r="B3" s="103"/>
      <c r="C3" s="104"/>
      <c r="D3" s="133"/>
      <c r="E3" s="231"/>
      <c r="F3" s="231"/>
      <c r="G3" s="232" t="s">
        <v>215</v>
      </c>
      <c r="H3" s="232" t="s">
        <v>217</v>
      </c>
      <c r="I3" s="233"/>
      <c r="J3" s="234" t="s">
        <v>320</v>
      </c>
      <c r="K3" s="234" t="s">
        <v>320</v>
      </c>
      <c r="L3" s="235"/>
      <c r="M3" s="235"/>
      <c r="N3" s="235"/>
      <c r="Q3" s="162"/>
      <c r="R3" s="178"/>
    </row>
    <row r="4" spans="1:19" s="121" customFormat="1" ht="15.75">
      <c r="A4" s="1466" t="s">
        <v>467</v>
      </c>
      <c r="B4" s="1468" t="s">
        <v>468</v>
      </c>
      <c r="C4" s="1468" t="s">
        <v>469</v>
      </c>
      <c r="D4" s="1470" t="s">
        <v>5</v>
      </c>
      <c r="E4" s="236" t="s">
        <v>272</v>
      </c>
      <c r="F4" s="236" t="s">
        <v>284</v>
      </c>
      <c r="G4" s="237">
        <v>2023</v>
      </c>
      <c r="H4" s="238" t="s">
        <v>332</v>
      </c>
      <c r="I4" s="239">
        <v>2024</v>
      </c>
      <c r="J4" s="240" t="s">
        <v>421</v>
      </c>
      <c r="K4" s="241">
        <v>2026</v>
      </c>
      <c r="L4" s="242"/>
      <c r="M4" s="242"/>
      <c r="N4" s="242"/>
      <c r="Q4" s="162"/>
      <c r="R4" s="178"/>
      <c r="S4" s="162"/>
    </row>
    <row r="5" spans="1:19" s="121" customFormat="1" ht="13.5" thickBot="1">
      <c r="A5" s="1467"/>
      <c r="B5" s="1469"/>
      <c r="C5" s="1469"/>
      <c r="D5" s="1471"/>
      <c r="E5" s="243" t="s">
        <v>207</v>
      </c>
      <c r="F5" s="243" t="s">
        <v>207</v>
      </c>
      <c r="G5" s="244" t="s">
        <v>207</v>
      </c>
      <c r="H5" s="244" t="s">
        <v>207</v>
      </c>
      <c r="I5" s="245" t="s">
        <v>207</v>
      </c>
      <c r="J5" s="246" t="s">
        <v>207</v>
      </c>
      <c r="K5" s="247" t="s">
        <v>207</v>
      </c>
      <c r="L5" s="248"/>
      <c r="M5" s="248"/>
      <c r="N5" s="248"/>
      <c r="Q5" s="162"/>
      <c r="R5" s="178"/>
      <c r="S5" s="162"/>
    </row>
    <row r="6" spans="1:18" s="121" customFormat="1" ht="18.75" customHeight="1" thickBot="1" thickTop="1">
      <c r="A6" s="456">
        <v>1</v>
      </c>
      <c r="B6" s="459" t="s">
        <v>106</v>
      </c>
      <c r="C6" s="738"/>
      <c r="D6" s="477"/>
      <c r="E6" s="154">
        <f aca="true" t="shared" si="0" ref="E6:K6">E7+E45+E85</f>
        <v>972598.28</v>
      </c>
      <c r="F6" s="154">
        <f t="shared" si="0"/>
        <v>1015703.1799999999</v>
      </c>
      <c r="G6" s="154">
        <f t="shared" si="0"/>
        <v>1143518</v>
      </c>
      <c r="H6" s="154">
        <f t="shared" si="0"/>
        <v>1262469.98</v>
      </c>
      <c r="I6" s="154">
        <f t="shared" si="0"/>
        <v>1273661.4</v>
      </c>
      <c r="J6" s="154">
        <f t="shared" si="0"/>
        <v>1336818</v>
      </c>
      <c r="K6" s="154">
        <f t="shared" si="0"/>
        <v>1372073</v>
      </c>
      <c r="L6" s="182"/>
      <c r="M6" s="182"/>
      <c r="N6" s="182"/>
      <c r="Q6" s="178"/>
      <c r="R6" s="178"/>
    </row>
    <row r="7" spans="1:18" s="121" customFormat="1" ht="18" customHeight="1" thickBot="1" thickTop="1">
      <c r="A7" s="462">
        <v>2</v>
      </c>
      <c r="B7" s="914">
        <v>1</v>
      </c>
      <c r="C7" s="492" t="s">
        <v>400</v>
      </c>
      <c r="D7" s="493"/>
      <c r="E7" s="157">
        <f aca="true" t="shared" si="1" ref="E7:K7">E8</f>
        <v>310000.88999999996</v>
      </c>
      <c r="F7" s="157">
        <f t="shared" si="1"/>
        <v>329254.05999999994</v>
      </c>
      <c r="G7" s="157">
        <f t="shared" si="1"/>
        <v>413206</v>
      </c>
      <c r="H7" s="157">
        <f t="shared" si="1"/>
        <v>428897.20999999996</v>
      </c>
      <c r="I7" s="157">
        <f t="shared" si="1"/>
        <v>485513.4</v>
      </c>
      <c r="J7" s="157">
        <f t="shared" si="1"/>
        <v>515082</v>
      </c>
      <c r="K7" s="157">
        <f t="shared" si="1"/>
        <v>515082</v>
      </c>
      <c r="L7" s="183"/>
      <c r="M7" s="183"/>
      <c r="N7" s="183"/>
      <c r="Q7" s="178"/>
      <c r="R7" s="178"/>
    </row>
    <row r="8" spans="1:18" s="121" customFormat="1" ht="15" customHeight="1" thickBot="1">
      <c r="A8" s="915">
        <v>3</v>
      </c>
      <c r="B8" s="455" t="s">
        <v>402</v>
      </c>
      <c r="C8" s="916" t="s">
        <v>380</v>
      </c>
      <c r="D8" s="917"/>
      <c r="E8" s="918">
        <f>SUM(E10:E32)</f>
        <v>310000.88999999996</v>
      </c>
      <c r="F8" s="918">
        <f>SUM(F10:F32)</f>
        <v>329254.05999999994</v>
      </c>
      <c r="G8" s="918">
        <f>SUM(G10:G32)</f>
        <v>413206</v>
      </c>
      <c r="H8" s="918">
        <f>SUM(H10:H32)</f>
        <v>428897.20999999996</v>
      </c>
      <c r="I8" s="918">
        <f>SUM(I10:I32)+I33</f>
        <v>485513.4</v>
      </c>
      <c r="J8" s="918">
        <f>SUM(J10:J32)+J33</f>
        <v>515082</v>
      </c>
      <c r="K8" s="918">
        <f>SUM(K10:K32)+K33</f>
        <v>515082</v>
      </c>
      <c r="L8" s="182"/>
      <c r="M8" s="182"/>
      <c r="N8" s="182"/>
      <c r="P8" s="249"/>
      <c r="Q8" s="221"/>
      <c r="R8" s="178"/>
    </row>
    <row r="9" spans="1:18" s="121" customFormat="1" ht="13.5" thickBot="1">
      <c r="A9" s="919"/>
      <c r="B9" s="920"/>
      <c r="C9" s="921" t="s">
        <v>471</v>
      </c>
      <c r="D9" s="922"/>
      <c r="E9" s="923"/>
      <c r="F9" s="923"/>
      <c r="G9" s="923"/>
      <c r="H9" s="924"/>
      <c r="I9" s="924"/>
      <c r="J9" s="924"/>
      <c r="K9" s="924"/>
      <c r="L9" s="182"/>
      <c r="M9" s="182"/>
      <c r="N9" s="182"/>
      <c r="Q9" s="221"/>
      <c r="R9" s="178"/>
    </row>
    <row r="10" spans="1:18" s="121" customFormat="1" ht="12.75">
      <c r="A10" s="925">
        <v>4</v>
      </c>
      <c r="B10" s="1510" t="s">
        <v>476</v>
      </c>
      <c r="C10" s="926" t="s">
        <v>233</v>
      </c>
      <c r="D10" s="927" t="s">
        <v>315</v>
      </c>
      <c r="E10" s="928">
        <v>181017.4</v>
      </c>
      <c r="F10" s="928">
        <v>163282.57</v>
      </c>
      <c r="G10" s="928">
        <v>224753</v>
      </c>
      <c r="H10" s="928">
        <v>224753</v>
      </c>
      <c r="I10" s="928">
        <v>237558</v>
      </c>
      <c r="J10" s="928">
        <v>237558</v>
      </c>
      <c r="K10" s="928">
        <v>237558</v>
      </c>
      <c r="L10" s="351" t="s">
        <v>730</v>
      </c>
      <c r="M10" s="113"/>
      <c r="N10" s="113"/>
      <c r="Q10" s="178"/>
      <c r="R10" s="204"/>
    </row>
    <row r="11" spans="1:18" s="121" customFormat="1" ht="12.75">
      <c r="A11" s="929">
        <v>5</v>
      </c>
      <c r="B11" s="1511"/>
      <c r="C11" s="930" t="s">
        <v>234</v>
      </c>
      <c r="D11" s="503" t="s">
        <v>108</v>
      </c>
      <c r="E11" s="148">
        <v>63591.91</v>
      </c>
      <c r="F11" s="148">
        <v>70341.99</v>
      </c>
      <c r="G11" s="148">
        <v>78664</v>
      </c>
      <c r="H11" s="148">
        <v>78664</v>
      </c>
      <c r="I11" s="148">
        <v>82124</v>
      </c>
      <c r="J11" s="148">
        <v>82124</v>
      </c>
      <c r="K11" s="148">
        <v>82124</v>
      </c>
      <c r="L11" s="351" t="s">
        <v>731</v>
      </c>
      <c r="M11" s="333"/>
      <c r="N11" s="113"/>
      <c r="Q11" s="178"/>
      <c r="R11" s="178"/>
    </row>
    <row r="12" spans="1:22" s="121" customFormat="1" ht="24.75" thickBot="1">
      <c r="A12" s="931">
        <v>6</v>
      </c>
      <c r="B12" s="1512"/>
      <c r="C12" s="932" t="s">
        <v>218</v>
      </c>
      <c r="D12" s="912" t="s">
        <v>661</v>
      </c>
      <c r="E12" s="150">
        <v>9699.8</v>
      </c>
      <c r="F12" s="150">
        <v>11219.54</v>
      </c>
      <c r="G12" s="150">
        <v>27216</v>
      </c>
      <c r="H12" s="150">
        <v>27216</v>
      </c>
      <c r="I12" s="150">
        <v>36474</v>
      </c>
      <c r="J12" s="150">
        <v>36474</v>
      </c>
      <c r="K12" s="150">
        <v>36474</v>
      </c>
      <c r="L12" s="351" t="s">
        <v>732</v>
      </c>
      <c r="M12" s="113"/>
      <c r="N12" s="113"/>
      <c r="Q12" s="178"/>
      <c r="R12" s="180"/>
      <c r="S12" s="180"/>
      <c r="T12" s="180"/>
      <c r="U12" s="180"/>
      <c r="V12" s="180"/>
    </row>
    <row r="13" spans="1:22" s="121" customFormat="1" ht="24">
      <c r="A13" s="933" t="s">
        <v>444</v>
      </c>
      <c r="B13" s="934"/>
      <c r="C13" s="935" t="s">
        <v>233</v>
      </c>
      <c r="D13" s="500" t="s">
        <v>446</v>
      </c>
      <c r="E13" s="928">
        <v>0</v>
      </c>
      <c r="F13" s="928">
        <v>4889</v>
      </c>
      <c r="G13" s="936">
        <v>0</v>
      </c>
      <c r="H13" s="147">
        <v>0</v>
      </c>
      <c r="I13" s="147">
        <v>0</v>
      </c>
      <c r="J13" s="147">
        <v>0</v>
      </c>
      <c r="K13" s="147">
        <v>0</v>
      </c>
      <c r="L13" s="113"/>
      <c r="M13" s="113"/>
      <c r="N13" s="113"/>
      <c r="Q13" s="178"/>
      <c r="R13" s="180"/>
      <c r="S13" s="180"/>
      <c r="T13" s="180"/>
      <c r="U13" s="180"/>
      <c r="V13" s="180"/>
    </row>
    <row r="14" spans="1:22" s="121" customFormat="1" ht="24.75" thickBot="1">
      <c r="A14" s="937" t="s">
        <v>445</v>
      </c>
      <c r="B14" s="938"/>
      <c r="C14" s="939" t="s">
        <v>234</v>
      </c>
      <c r="D14" s="940" t="s">
        <v>447</v>
      </c>
      <c r="E14" s="941">
        <v>0</v>
      </c>
      <c r="F14" s="941">
        <v>1709</v>
      </c>
      <c r="G14" s="942">
        <v>0</v>
      </c>
      <c r="H14" s="941">
        <v>0</v>
      </c>
      <c r="I14" s="941">
        <v>0</v>
      </c>
      <c r="J14" s="941">
        <v>0</v>
      </c>
      <c r="K14" s="941">
        <v>0</v>
      </c>
      <c r="L14" s="113"/>
      <c r="M14" s="113"/>
      <c r="N14" s="113"/>
      <c r="Q14" s="178"/>
      <c r="R14" s="180"/>
      <c r="S14" s="180"/>
      <c r="T14" s="180"/>
      <c r="U14" s="180"/>
      <c r="V14" s="180"/>
    </row>
    <row r="15" spans="1:22" s="121" customFormat="1" ht="24">
      <c r="A15" s="1335" t="s">
        <v>448</v>
      </c>
      <c r="B15" s="1261"/>
      <c r="C15" s="935" t="s">
        <v>233</v>
      </c>
      <c r="D15" s="500" t="s">
        <v>446</v>
      </c>
      <c r="E15" s="928">
        <v>0</v>
      </c>
      <c r="F15" s="928">
        <v>7010</v>
      </c>
      <c r="G15" s="936">
        <v>0</v>
      </c>
      <c r="H15" s="147">
        <v>0</v>
      </c>
      <c r="I15" s="147">
        <v>0</v>
      </c>
      <c r="J15" s="147">
        <v>0</v>
      </c>
      <c r="K15" s="147">
        <v>0</v>
      </c>
      <c r="L15" s="113"/>
      <c r="M15" s="113"/>
      <c r="N15" s="113"/>
      <c r="Q15" s="178"/>
      <c r="R15" s="180"/>
      <c r="S15" s="180"/>
      <c r="T15" s="180"/>
      <c r="U15" s="180"/>
      <c r="V15" s="180"/>
    </row>
    <row r="16" spans="1:22" s="121" customFormat="1" ht="24.75" thickBot="1">
      <c r="A16" s="1336" t="s">
        <v>449</v>
      </c>
      <c r="B16" s="1262"/>
      <c r="C16" s="939" t="s">
        <v>234</v>
      </c>
      <c r="D16" s="940" t="s">
        <v>447</v>
      </c>
      <c r="E16" s="941">
        <v>0</v>
      </c>
      <c r="F16" s="941">
        <v>2450</v>
      </c>
      <c r="G16" s="942">
        <v>0</v>
      </c>
      <c r="H16" s="941">
        <v>0</v>
      </c>
      <c r="I16" s="941">
        <v>0</v>
      </c>
      <c r="J16" s="941">
        <v>0</v>
      </c>
      <c r="K16" s="941">
        <v>0</v>
      </c>
      <c r="L16" s="113"/>
      <c r="M16" s="113"/>
      <c r="N16" s="113"/>
      <c r="Q16" s="178"/>
      <c r="R16" s="180"/>
      <c r="S16" s="180"/>
      <c r="T16" s="180"/>
      <c r="U16" s="180"/>
      <c r="V16" s="180"/>
    </row>
    <row r="17" spans="1:22" s="121" customFormat="1" ht="13.5" thickBot="1">
      <c r="A17" s="943"/>
      <c r="B17" s="944"/>
      <c r="C17" s="921" t="s">
        <v>386</v>
      </c>
      <c r="D17" s="945"/>
      <c r="E17" s="946"/>
      <c r="F17" s="946"/>
      <c r="G17" s="946"/>
      <c r="H17" s="947"/>
      <c r="I17" s="947"/>
      <c r="J17" s="947"/>
      <c r="K17" s="947"/>
      <c r="L17" s="113"/>
      <c r="M17" s="113"/>
      <c r="N17" s="113"/>
      <c r="Q17" s="178"/>
      <c r="R17" s="180"/>
      <c r="S17" s="180"/>
      <c r="T17" s="180"/>
      <c r="U17" s="180"/>
      <c r="V17" s="180"/>
    </row>
    <row r="18" spans="1:22" s="121" customFormat="1" ht="24">
      <c r="A18" s="456">
        <v>8</v>
      </c>
      <c r="B18" s="948"/>
      <c r="C18" s="949" t="s">
        <v>218</v>
      </c>
      <c r="D18" s="950" t="s">
        <v>450</v>
      </c>
      <c r="E18" s="951">
        <v>2300</v>
      </c>
      <c r="F18" s="951">
        <v>3000</v>
      </c>
      <c r="G18" s="951">
        <v>0</v>
      </c>
      <c r="H18" s="951">
        <v>0</v>
      </c>
      <c r="I18" s="951">
        <v>0</v>
      </c>
      <c r="J18" s="951">
        <v>0</v>
      </c>
      <c r="K18" s="951">
        <v>0</v>
      </c>
      <c r="L18" s="113"/>
      <c r="M18" s="113"/>
      <c r="N18" s="113"/>
      <c r="Q18" s="178"/>
      <c r="R18" s="180"/>
      <c r="S18" s="180"/>
      <c r="T18" s="180"/>
      <c r="U18" s="180"/>
      <c r="V18" s="180"/>
    </row>
    <row r="19" spans="1:22" s="121" customFormat="1" ht="12.75">
      <c r="A19" s="462">
        <v>9</v>
      </c>
      <c r="B19" s="952"/>
      <c r="C19" s="953" t="s">
        <v>218</v>
      </c>
      <c r="D19" s="954" t="s">
        <v>374</v>
      </c>
      <c r="E19" s="161">
        <v>999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13"/>
      <c r="M19" s="113"/>
      <c r="N19" s="113"/>
      <c r="Q19" s="178"/>
      <c r="R19" s="180"/>
      <c r="S19" s="180"/>
      <c r="T19" s="180"/>
      <c r="U19" s="180"/>
      <c r="V19" s="180"/>
    </row>
    <row r="20" spans="1:22" s="121" customFormat="1" ht="12.75">
      <c r="A20" s="462">
        <v>10</v>
      </c>
      <c r="B20" s="952"/>
      <c r="C20" s="953" t="s">
        <v>218</v>
      </c>
      <c r="D20" s="954" t="s">
        <v>569</v>
      </c>
      <c r="E20" s="161">
        <v>0</v>
      </c>
      <c r="F20" s="161">
        <v>0</v>
      </c>
      <c r="G20" s="161">
        <v>0</v>
      </c>
      <c r="H20" s="161">
        <v>403</v>
      </c>
      <c r="I20" s="161">
        <v>0</v>
      </c>
      <c r="J20" s="161">
        <v>0</v>
      </c>
      <c r="K20" s="161">
        <v>0</v>
      </c>
      <c r="L20" s="113"/>
      <c r="M20" s="113"/>
      <c r="N20" s="113"/>
      <c r="Q20" s="178"/>
      <c r="R20" s="180"/>
      <c r="S20" s="180"/>
      <c r="T20" s="180"/>
      <c r="U20" s="180"/>
      <c r="V20" s="180"/>
    </row>
    <row r="21" spans="1:22" s="121" customFormat="1" ht="13.5" thickBot="1">
      <c r="A21" s="909">
        <v>11</v>
      </c>
      <c r="B21" s="952"/>
      <c r="C21" s="953" t="s">
        <v>218</v>
      </c>
      <c r="D21" s="954" t="s">
        <v>525</v>
      </c>
      <c r="E21" s="161">
        <v>665</v>
      </c>
      <c r="F21" s="161">
        <v>728</v>
      </c>
      <c r="G21" s="161">
        <v>0</v>
      </c>
      <c r="H21" s="161">
        <v>1092</v>
      </c>
      <c r="I21" s="161">
        <v>0</v>
      </c>
      <c r="J21" s="161">
        <v>0</v>
      </c>
      <c r="K21" s="161">
        <v>0</v>
      </c>
      <c r="L21" s="113"/>
      <c r="M21" s="113"/>
      <c r="N21" s="113"/>
      <c r="Q21" s="178"/>
      <c r="R21" s="180"/>
      <c r="S21" s="180"/>
      <c r="T21" s="180"/>
      <c r="U21" s="180"/>
      <c r="V21" s="180"/>
    </row>
    <row r="22" spans="1:22" s="121" customFormat="1" ht="13.5" thickBot="1">
      <c r="A22" s="943"/>
      <c r="B22" s="944"/>
      <c r="C22" s="921" t="s">
        <v>383</v>
      </c>
      <c r="D22" s="945"/>
      <c r="E22" s="946"/>
      <c r="F22" s="946"/>
      <c r="G22" s="946"/>
      <c r="H22" s="947"/>
      <c r="I22" s="947"/>
      <c r="J22" s="947"/>
      <c r="K22" s="947"/>
      <c r="L22" s="113"/>
      <c r="M22" s="113"/>
      <c r="N22" s="113"/>
      <c r="Q22" s="178"/>
      <c r="R22" s="180"/>
      <c r="S22" s="180"/>
      <c r="T22" s="180"/>
      <c r="U22" s="180"/>
      <c r="V22" s="180"/>
    </row>
    <row r="23" spans="1:18" s="121" customFormat="1" ht="36">
      <c r="A23" s="955">
        <v>12</v>
      </c>
      <c r="B23" s="956"/>
      <c r="C23" s="728" t="s">
        <v>233</v>
      </c>
      <c r="D23" s="499" t="s">
        <v>385</v>
      </c>
      <c r="E23" s="147">
        <v>8753</v>
      </c>
      <c r="F23" s="147">
        <v>14484.38</v>
      </c>
      <c r="G23" s="147">
        <v>12974</v>
      </c>
      <c r="H23" s="147">
        <v>13132</v>
      </c>
      <c r="I23" s="147">
        <v>15315</v>
      </c>
      <c r="J23" s="147">
        <v>15315</v>
      </c>
      <c r="K23" s="147">
        <v>15315</v>
      </c>
      <c r="L23" s="113"/>
      <c r="M23" s="113"/>
      <c r="N23" s="113"/>
      <c r="Q23" s="178"/>
      <c r="R23" s="178"/>
    </row>
    <row r="24" spans="1:18" s="121" customFormat="1" ht="24">
      <c r="A24" s="955">
        <v>13</v>
      </c>
      <c r="B24" s="956"/>
      <c r="C24" s="728" t="s">
        <v>234</v>
      </c>
      <c r="D24" s="499" t="s">
        <v>381</v>
      </c>
      <c r="E24" s="147">
        <v>0</v>
      </c>
      <c r="F24" s="147">
        <v>0</v>
      </c>
      <c r="G24" s="147">
        <v>4561</v>
      </c>
      <c r="H24" s="147">
        <v>4589</v>
      </c>
      <c r="I24" s="147">
        <v>6381</v>
      </c>
      <c r="J24" s="147">
        <v>6381</v>
      </c>
      <c r="K24" s="147">
        <v>6381</v>
      </c>
      <c r="L24" s="113"/>
      <c r="M24" s="113"/>
      <c r="N24" s="113"/>
      <c r="Q24" s="178"/>
      <c r="R24" s="178"/>
    </row>
    <row r="25" spans="1:18" s="121" customFormat="1" ht="24.75" thickBot="1">
      <c r="A25" s="957">
        <v>14</v>
      </c>
      <c r="B25" s="958"/>
      <c r="C25" s="949" t="s">
        <v>218</v>
      </c>
      <c r="D25" s="789" t="s">
        <v>382</v>
      </c>
      <c r="E25" s="951">
        <v>0</v>
      </c>
      <c r="F25" s="951">
        <v>3409.62</v>
      </c>
      <c r="G25" s="951">
        <v>2486</v>
      </c>
      <c r="H25" s="951">
        <v>2508</v>
      </c>
      <c r="I25" s="951">
        <v>6590</v>
      </c>
      <c r="J25" s="951">
        <v>6590</v>
      </c>
      <c r="K25" s="951">
        <v>6590</v>
      </c>
      <c r="L25" s="113"/>
      <c r="M25" s="113"/>
      <c r="N25" s="113"/>
      <c r="Q25" s="178"/>
      <c r="R25" s="178"/>
    </row>
    <row r="26" spans="1:18" s="121" customFormat="1" ht="13.5" thickBot="1">
      <c r="A26" s="943"/>
      <c r="B26" s="959"/>
      <c r="C26" s="921" t="s">
        <v>404</v>
      </c>
      <c r="D26" s="945"/>
      <c r="E26" s="946"/>
      <c r="F26" s="946"/>
      <c r="G26" s="946"/>
      <c r="H26" s="960"/>
      <c r="I26" s="946"/>
      <c r="J26" s="960"/>
      <c r="K26" s="961"/>
      <c r="L26" s="113"/>
      <c r="M26" s="113"/>
      <c r="N26" s="113"/>
      <c r="Q26" s="178"/>
      <c r="R26" s="178"/>
    </row>
    <row r="27" spans="1:22" s="121" customFormat="1" ht="36">
      <c r="A27" s="456">
        <v>15</v>
      </c>
      <c r="B27" s="962"/>
      <c r="C27" s="728" t="s">
        <v>218</v>
      </c>
      <c r="D27" s="499" t="s">
        <v>328</v>
      </c>
      <c r="E27" s="147">
        <v>15407</v>
      </c>
      <c r="F27" s="147">
        <v>16070.61</v>
      </c>
      <c r="G27" s="147">
        <f>'Bežné príjmy'!I109</f>
        <v>16500</v>
      </c>
      <c r="H27" s="147">
        <v>16500</v>
      </c>
      <c r="I27" s="147">
        <f>'Bežné príjmy'!K109</f>
        <v>16500</v>
      </c>
      <c r="J27" s="147">
        <f>'Bežné príjmy'!L109</f>
        <v>16500</v>
      </c>
      <c r="K27" s="147">
        <f>'Bežné príjmy'!M109</f>
        <v>16500</v>
      </c>
      <c r="L27" s="113"/>
      <c r="M27" s="113"/>
      <c r="N27" s="113"/>
      <c r="Q27" s="178"/>
      <c r="R27" s="185"/>
      <c r="S27" s="185"/>
      <c r="T27" s="185"/>
      <c r="U27" s="185"/>
      <c r="V27" s="185"/>
    </row>
    <row r="28" spans="1:22" s="121" customFormat="1" ht="36">
      <c r="A28" s="963">
        <v>16</v>
      </c>
      <c r="B28" s="964"/>
      <c r="C28" s="949" t="s">
        <v>218</v>
      </c>
      <c r="D28" s="585" t="s">
        <v>293</v>
      </c>
      <c r="E28" s="161">
        <v>1786.27</v>
      </c>
      <c r="F28" s="161">
        <v>391.6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13"/>
      <c r="M28" s="113"/>
      <c r="N28" s="113"/>
      <c r="Q28" s="178"/>
      <c r="R28" s="180"/>
      <c r="S28" s="180"/>
      <c r="T28" s="180"/>
      <c r="U28" s="180"/>
      <c r="V28" s="180"/>
    </row>
    <row r="29" spans="1:18" s="121" customFormat="1" ht="36">
      <c r="A29" s="462">
        <v>17</v>
      </c>
      <c r="B29" s="727"/>
      <c r="C29" s="726" t="s">
        <v>218</v>
      </c>
      <c r="D29" s="592" t="s">
        <v>329</v>
      </c>
      <c r="E29" s="148">
        <v>10911.61</v>
      </c>
      <c r="F29" s="148">
        <v>18220.26</v>
      </c>
      <c r="G29" s="148">
        <f>'Bežné príjmy'!I106</f>
        <v>32068</v>
      </c>
      <c r="H29" s="148">
        <v>32068</v>
      </c>
      <c r="I29" s="148">
        <f>'Bežné príjmy'!K106</f>
        <v>22582</v>
      </c>
      <c r="J29" s="148">
        <f>'Bežné príjmy'!L106</f>
        <v>22582</v>
      </c>
      <c r="K29" s="148">
        <f>'Bežné príjmy'!M106</f>
        <v>22582</v>
      </c>
      <c r="L29" s="113"/>
      <c r="M29" s="113"/>
      <c r="N29" s="113"/>
      <c r="Q29" s="178"/>
      <c r="R29" s="178"/>
    </row>
    <row r="30" spans="1:18" s="121" customFormat="1" ht="48">
      <c r="A30" s="965">
        <v>18</v>
      </c>
      <c r="B30" s="504"/>
      <c r="C30" s="726" t="s">
        <v>218</v>
      </c>
      <c r="D30" s="592" t="s">
        <v>346</v>
      </c>
      <c r="E30" s="148">
        <v>9040.82</v>
      </c>
      <c r="F30" s="148">
        <v>9061.6</v>
      </c>
      <c r="G30" s="148">
        <f>'Bežné príjmy'!I107</f>
        <v>13984</v>
      </c>
      <c r="H30" s="148">
        <v>13984</v>
      </c>
      <c r="I30" s="148">
        <f>'Bežné príjmy'!K107</f>
        <v>11335</v>
      </c>
      <c r="J30" s="148">
        <f>'Bežné príjmy'!L107</f>
        <v>11335</v>
      </c>
      <c r="K30" s="148">
        <f>'Bežné príjmy'!M107</f>
        <v>11335</v>
      </c>
      <c r="L30" s="113"/>
      <c r="M30" s="113"/>
      <c r="N30" s="113"/>
      <c r="Q30" s="178"/>
      <c r="R30" s="178"/>
    </row>
    <row r="31" spans="1:18" s="121" customFormat="1" ht="24">
      <c r="A31" s="462">
        <v>19</v>
      </c>
      <c r="B31" s="727"/>
      <c r="C31" s="726" t="s">
        <v>218</v>
      </c>
      <c r="D31" s="592" t="s">
        <v>387</v>
      </c>
      <c r="E31" s="148">
        <v>4053.1</v>
      </c>
      <c r="F31" s="148">
        <v>1397.5</v>
      </c>
      <c r="G31" s="148">
        <f>'Bežné príjmy'!I91</f>
        <v>0</v>
      </c>
      <c r="H31" s="148">
        <f>'Bežné príjmy'!J91-'Výdavky Program 10'!H25</f>
        <v>7001.6</v>
      </c>
      <c r="I31" s="148">
        <f>'Bežné príjmy'!K91-'Výdavky Program 10'!I25</f>
        <v>10695.4</v>
      </c>
      <c r="J31" s="148">
        <f>'Bežné príjmy'!L91</f>
        <v>0</v>
      </c>
      <c r="K31" s="148">
        <f>'Bežné príjmy'!M91</f>
        <v>0</v>
      </c>
      <c r="L31" s="113"/>
      <c r="M31" s="113"/>
      <c r="N31" s="113"/>
      <c r="Q31" s="178"/>
      <c r="R31" s="178"/>
    </row>
    <row r="32" spans="1:18" s="121" customFormat="1" ht="24.75" thickBot="1">
      <c r="A32" s="456">
        <v>20</v>
      </c>
      <c r="B32" s="966"/>
      <c r="C32" s="967"/>
      <c r="D32" s="968" t="s">
        <v>369</v>
      </c>
      <c r="E32" s="969">
        <v>1775.98</v>
      </c>
      <c r="F32" s="969">
        <v>1588.39</v>
      </c>
      <c r="G32" s="969">
        <v>0</v>
      </c>
      <c r="H32" s="969">
        <v>6986.61</v>
      </c>
      <c r="I32" s="969">
        <v>0</v>
      </c>
      <c r="J32" s="969">
        <v>0</v>
      </c>
      <c r="K32" s="969">
        <v>0</v>
      </c>
      <c r="L32" s="113"/>
      <c r="M32" s="113"/>
      <c r="N32" s="113"/>
      <c r="Q32" s="200"/>
      <c r="R32" s="177"/>
    </row>
    <row r="33" spans="1:18" s="121" customFormat="1" ht="13.5" thickBot="1">
      <c r="A33" s="915">
        <v>21</v>
      </c>
      <c r="B33" s="1263" t="s">
        <v>402</v>
      </c>
      <c r="C33" s="916" t="s">
        <v>685</v>
      </c>
      <c r="D33" s="917"/>
      <c r="E33" s="970">
        <f>SUM(E35:E44)</f>
        <v>0</v>
      </c>
      <c r="F33" s="970">
        <f aca="true" t="shared" si="2" ref="F33:K33">SUM(F35:F44)</f>
        <v>0</v>
      </c>
      <c r="G33" s="970">
        <f t="shared" si="2"/>
        <v>0</v>
      </c>
      <c r="H33" s="970">
        <f t="shared" si="2"/>
        <v>0</v>
      </c>
      <c r="I33" s="970">
        <f t="shared" si="2"/>
        <v>39959</v>
      </c>
      <c r="J33" s="970">
        <f t="shared" si="2"/>
        <v>80223</v>
      </c>
      <c r="K33" s="970">
        <f t="shared" si="2"/>
        <v>80223</v>
      </c>
      <c r="L33" s="113"/>
      <c r="M33" s="113"/>
      <c r="N33" s="113"/>
      <c r="Q33" s="200"/>
      <c r="R33" s="177"/>
    </row>
    <row r="34" spans="1:18" s="121" customFormat="1" ht="13.5" thickBot="1">
      <c r="A34" s="919"/>
      <c r="B34" s="920"/>
      <c r="C34" s="921" t="s">
        <v>686</v>
      </c>
      <c r="D34" s="922"/>
      <c r="E34" s="923"/>
      <c r="F34" s="923"/>
      <c r="G34" s="923"/>
      <c r="H34" s="924"/>
      <c r="I34" s="924"/>
      <c r="J34" s="924"/>
      <c r="K34" s="924"/>
      <c r="L34" s="113"/>
      <c r="M34" s="113"/>
      <c r="N34" s="113"/>
      <c r="Q34" s="200"/>
      <c r="R34" s="177"/>
    </row>
    <row r="35" spans="1:18" s="121" customFormat="1" ht="12.75">
      <c r="A35" s="925">
        <v>22</v>
      </c>
      <c r="B35" s="1513" t="s">
        <v>476</v>
      </c>
      <c r="C35" s="971" t="s">
        <v>233</v>
      </c>
      <c r="D35" s="927" t="s">
        <v>315</v>
      </c>
      <c r="E35" s="972">
        <v>0</v>
      </c>
      <c r="F35" s="972">
        <v>0</v>
      </c>
      <c r="G35" s="972">
        <v>0</v>
      </c>
      <c r="H35" s="972">
        <v>0</v>
      </c>
      <c r="I35" s="1297">
        <v>21446</v>
      </c>
      <c r="J35" s="972">
        <v>42892</v>
      </c>
      <c r="K35" s="972">
        <v>42892</v>
      </c>
      <c r="L35" s="1305" t="s">
        <v>760</v>
      </c>
      <c r="M35" s="1303"/>
      <c r="N35" s="113"/>
      <c r="Q35" s="200"/>
      <c r="R35" s="177"/>
    </row>
    <row r="36" spans="1:18" s="121" customFormat="1" ht="12.75">
      <c r="A36" s="929">
        <v>23</v>
      </c>
      <c r="B36" s="1514"/>
      <c r="C36" s="973" t="s">
        <v>234</v>
      </c>
      <c r="D36" s="503" t="s">
        <v>108</v>
      </c>
      <c r="E36" s="974">
        <v>0</v>
      </c>
      <c r="F36" s="974">
        <v>0</v>
      </c>
      <c r="G36" s="974">
        <v>0</v>
      </c>
      <c r="H36" s="974">
        <v>0</v>
      </c>
      <c r="I36" s="1298">
        <v>7506</v>
      </c>
      <c r="J36" s="974">
        <v>15012</v>
      </c>
      <c r="K36" s="974">
        <v>15012</v>
      </c>
      <c r="L36" s="113"/>
      <c r="M36" s="113"/>
      <c r="N36" s="113"/>
      <c r="Q36" s="200"/>
      <c r="R36" s="177"/>
    </row>
    <row r="37" spans="1:18" s="121" customFormat="1" ht="24.75" thickBot="1">
      <c r="A37" s="931">
        <v>24</v>
      </c>
      <c r="B37" s="1515"/>
      <c r="C37" s="975" t="s">
        <v>218</v>
      </c>
      <c r="D37" s="976" t="s">
        <v>661</v>
      </c>
      <c r="E37" s="977">
        <v>0</v>
      </c>
      <c r="F37" s="977">
        <v>0</v>
      </c>
      <c r="G37" s="977">
        <v>0</v>
      </c>
      <c r="H37" s="977">
        <v>0</v>
      </c>
      <c r="I37" s="1299">
        <v>3373</v>
      </c>
      <c r="J37" s="977">
        <v>6184</v>
      </c>
      <c r="K37" s="977">
        <v>6184</v>
      </c>
      <c r="L37" s="113"/>
      <c r="M37" s="113"/>
      <c r="N37" s="113"/>
      <c r="Q37" s="200"/>
      <c r="R37" s="177"/>
    </row>
    <row r="38" spans="1:18" s="121" customFormat="1" ht="13.5" thickBot="1">
      <c r="A38" s="943"/>
      <c r="B38" s="959"/>
      <c r="C38" s="921" t="s">
        <v>687</v>
      </c>
      <c r="D38" s="945"/>
      <c r="E38" s="946"/>
      <c r="F38" s="946"/>
      <c r="G38" s="946"/>
      <c r="H38" s="960"/>
      <c r="I38" s="946"/>
      <c r="J38" s="960"/>
      <c r="K38" s="961"/>
      <c r="L38" s="113"/>
      <c r="M38" s="113"/>
      <c r="N38" s="113"/>
      <c r="Q38" s="200"/>
      <c r="R38" s="177"/>
    </row>
    <row r="39" spans="1:18" s="121" customFormat="1" ht="36">
      <c r="A39" s="456">
        <v>25</v>
      </c>
      <c r="B39" s="962"/>
      <c r="C39" s="978" t="s">
        <v>218</v>
      </c>
      <c r="D39" s="732" t="s">
        <v>328</v>
      </c>
      <c r="E39" s="979">
        <v>0</v>
      </c>
      <c r="F39" s="979">
        <v>0</v>
      </c>
      <c r="G39" s="979">
        <v>0</v>
      </c>
      <c r="H39" s="979">
        <v>0</v>
      </c>
      <c r="I39" s="147">
        <f>'Bežné príjmy'!K112</f>
        <v>3300</v>
      </c>
      <c r="J39" s="979">
        <f>'Bežné príjmy'!L112</f>
        <v>6600</v>
      </c>
      <c r="K39" s="979">
        <f>'Bežné príjmy'!M112</f>
        <v>6600</v>
      </c>
      <c r="L39" s="198"/>
      <c r="M39" s="351"/>
      <c r="N39" s="113"/>
      <c r="Q39" s="200"/>
      <c r="R39" s="177"/>
    </row>
    <row r="40" spans="1:18" s="121" customFormat="1" ht="36">
      <c r="A40" s="963">
        <v>26</v>
      </c>
      <c r="B40" s="964"/>
      <c r="C40" s="980" t="s">
        <v>218</v>
      </c>
      <c r="D40" s="981" t="s">
        <v>293</v>
      </c>
      <c r="E40" s="982">
        <v>0</v>
      </c>
      <c r="F40" s="982">
        <v>0</v>
      </c>
      <c r="G40" s="982">
        <v>0</v>
      </c>
      <c r="H40" s="982">
        <v>0</v>
      </c>
      <c r="I40" s="982">
        <v>0</v>
      </c>
      <c r="J40" s="982">
        <v>0</v>
      </c>
      <c r="K40" s="982">
        <v>0</v>
      </c>
      <c r="L40" s="113"/>
      <c r="M40" s="113"/>
      <c r="N40" s="113"/>
      <c r="Q40" s="200"/>
      <c r="R40" s="177"/>
    </row>
    <row r="41" spans="1:18" s="121" customFormat="1" ht="36">
      <c r="A41" s="462">
        <v>27</v>
      </c>
      <c r="B41" s="727"/>
      <c r="C41" s="983" t="s">
        <v>218</v>
      </c>
      <c r="D41" s="984" t="s">
        <v>329</v>
      </c>
      <c r="E41" s="974">
        <v>0</v>
      </c>
      <c r="F41" s="974">
        <v>0</v>
      </c>
      <c r="G41" s="974">
        <v>0</v>
      </c>
      <c r="H41" s="974">
        <v>0</v>
      </c>
      <c r="I41" s="974">
        <f>'Bežné príjmy'!K110</f>
        <v>3388</v>
      </c>
      <c r="J41" s="974">
        <f>'Bežné príjmy'!L110</f>
        <v>7453</v>
      </c>
      <c r="K41" s="974">
        <f>'Bežné príjmy'!M110</f>
        <v>7453</v>
      </c>
      <c r="L41" s="113"/>
      <c r="M41" s="113"/>
      <c r="N41" s="113"/>
      <c r="Q41" s="200"/>
      <c r="R41" s="177"/>
    </row>
    <row r="42" spans="1:18" s="121" customFormat="1" ht="48">
      <c r="A42" s="965">
        <v>28</v>
      </c>
      <c r="B42" s="504"/>
      <c r="C42" s="983" t="s">
        <v>218</v>
      </c>
      <c r="D42" s="984" t="s">
        <v>346</v>
      </c>
      <c r="E42" s="974">
        <v>0</v>
      </c>
      <c r="F42" s="974">
        <v>0</v>
      </c>
      <c r="G42" s="974">
        <v>0</v>
      </c>
      <c r="H42" s="974">
        <v>0</v>
      </c>
      <c r="I42" s="974">
        <f>'Bežné príjmy'!K111</f>
        <v>946</v>
      </c>
      <c r="J42" s="974">
        <f>'Bežné príjmy'!L111</f>
        <v>2082</v>
      </c>
      <c r="K42" s="974">
        <f>'Bežné príjmy'!M111</f>
        <v>2082</v>
      </c>
      <c r="L42" s="113"/>
      <c r="M42" s="113"/>
      <c r="N42" s="113"/>
      <c r="Q42" s="200"/>
      <c r="R42" s="177"/>
    </row>
    <row r="43" spans="1:18" s="121" customFormat="1" ht="24">
      <c r="A43" s="462">
        <v>29</v>
      </c>
      <c r="B43" s="727"/>
      <c r="C43" s="983" t="s">
        <v>218</v>
      </c>
      <c r="D43" s="984" t="s">
        <v>387</v>
      </c>
      <c r="E43" s="974">
        <v>0</v>
      </c>
      <c r="F43" s="974">
        <v>0</v>
      </c>
      <c r="G43" s="974">
        <v>0</v>
      </c>
      <c r="H43" s="974">
        <v>0</v>
      </c>
      <c r="I43" s="974">
        <v>0</v>
      </c>
      <c r="J43" s="974">
        <v>0</v>
      </c>
      <c r="K43" s="974">
        <v>0</v>
      </c>
      <c r="L43" s="113"/>
      <c r="M43" s="113"/>
      <c r="N43" s="113"/>
      <c r="Q43" s="200"/>
      <c r="R43" s="177"/>
    </row>
    <row r="44" spans="1:18" s="121" customFormat="1" ht="24.75" thickBot="1">
      <c r="A44" s="456">
        <v>30</v>
      </c>
      <c r="B44" s="966"/>
      <c r="C44" s="985"/>
      <c r="D44" s="986" t="s">
        <v>369</v>
      </c>
      <c r="E44" s="987">
        <v>0</v>
      </c>
      <c r="F44" s="987">
        <v>0</v>
      </c>
      <c r="G44" s="987">
        <v>0</v>
      </c>
      <c r="H44" s="987">
        <v>0</v>
      </c>
      <c r="I44" s="987">
        <v>0</v>
      </c>
      <c r="J44" s="987">
        <v>0</v>
      </c>
      <c r="K44" s="987">
        <v>0</v>
      </c>
      <c r="L44" s="113"/>
      <c r="M44" s="113"/>
      <c r="N44" s="113"/>
      <c r="Q44" s="200"/>
      <c r="R44" s="177"/>
    </row>
    <row r="45" spans="1:20" s="121" customFormat="1" ht="19.5" customHeight="1" thickBot="1">
      <c r="A45" s="988">
        <v>31</v>
      </c>
      <c r="B45" s="989">
        <v>2</v>
      </c>
      <c r="C45" s="990" t="s">
        <v>401</v>
      </c>
      <c r="D45" s="991"/>
      <c r="E45" s="992">
        <v>662597.39</v>
      </c>
      <c r="F45" s="992">
        <f aca="true" t="shared" si="3" ref="F45:K45">F46+F67+F74</f>
        <v>686314.12</v>
      </c>
      <c r="G45" s="992">
        <f t="shared" si="3"/>
        <v>730312</v>
      </c>
      <c r="H45" s="992">
        <f t="shared" si="3"/>
        <v>833098.77</v>
      </c>
      <c r="I45" s="992">
        <f t="shared" si="3"/>
        <v>787648</v>
      </c>
      <c r="J45" s="992">
        <f t="shared" si="3"/>
        <v>821236</v>
      </c>
      <c r="K45" s="992">
        <f t="shared" si="3"/>
        <v>856491</v>
      </c>
      <c r="L45" s="183"/>
      <c r="M45" s="183"/>
      <c r="N45" s="183"/>
      <c r="P45" s="170"/>
      <c r="Q45" s="178"/>
      <c r="R45" s="178"/>
      <c r="T45" s="250"/>
    </row>
    <row r="46" spans="1:21" s="121" customFormat="1" ht="15" customHeight="1" thickBot="1">
      <c r="A46" s="456">
        <v>32</v>
      </c>
      <c r="B46" s="92" t="s">
        <v>403</v>
      </c>
      <c r="C46" s="481" t="s">
        <v>86</v>
      </c>
      <c r="D46" s="481"/>
      <c r="E46" s="993">
        <f>SUM(E48:E66)</f>
        <v>500707.26</v>
      </c>
      <c r="F46" s="993">
        <f>SUM(F48:F66)</f>
        <v>520310.94</v>
      </c>
      <c r="G46" s="993">
        <f>SUM(G48:G65)</f>
        <v>529428</v>
      </c>
      <c r="H46" s="993">
        <f>SUM(H48:H66)</f>
        <v>587067</v>
      </c>
      <c r="I46" s="993">
        <f>SUM(I48:I66)</f>
        <v>560141</v>
      </c>
      <c r="J46" s="993">
        <f>SUM(J48:J66)</f>
        <v>586803</v>
      </c>
      <c r="K46" s="993">
        <f>SUM(K48:K66)</f>
        <v>614786</v>
      </c>
      <c r="L46" s="182"/>
      <c r="M46" s="182"/>
      <c r="N46" s="182"/>
      <c r="Q46" s="178"/>
      <c r="R46" s="178"/>
      <c r="T46" s="178"/>
      <c r="U46" s="178"/>
    </row>
    <row r="47" spans="1:21" s="121" customFormat="1" ht="13.5" thickBot="1">
      <c r="A47" s="943"/>
      <c r="B47" s="944"/>
      <c r="C47" s="921" t="s">
        <v>392</v>
      </c>
      <c r="D47" s="945"/>
      <c r="E47" s="946"/>
      <c r="F47" s="946"/>
      <c r="G47" s="946"/>
      <c r="H47" s="960"/>
      <c r="I47" s="960"/>
      <c r="J47" s="946"/>
      <c r="K47" s="960"/>
      <c r="L47" s="182"/>
      <c r="M47" s="182"/>
      <c r="N47" s="182"/>
      <c r="Q47" s="178"/>
      <c r="R47" s="178"/>
      <c r="T47" s="178"/>
      <c r="U47" s="178"/>
    </row>
    <row r="48" spans="1:21" s="121" customFormat="1" ht="36">
      <c r="A48" s="462">
        <v>33</v>
      </c>
      <c r="B48" s="1507" t="s">
        <v>177</v>
      </c>
      <c r="C48" s="926" t="s">
        <v>233</v>
      </c>
      <c r="D48" s="994" t="s">
        <v>388</v>
      </c>
      <c r="E48" s="995">
        <v>313593.8</v>
      </c>
      <c r="F48" s="995">
        <v>304509.34</v>
      </c>
      <c r="G48" s="995">
        <v>326210</v>
      </c>
      <c r="H48" s="995">
        <v>333535</v>
      </c>
      <c r="I48" s="995">
        <v>333530</v>
      </c>
      <c r="J48" s="995">
        <v>350210</v>
      </c>
      <c r="K48" s="995">
        <v>367720</v>
      </c>
      <c r="L48" s="113"/>
      <c r="M48" s="113"/>
      <c r="N48" s="113"/>
      <c r="P48" s="170"/>
      <c r="Q48" s="178"/>
      <c r="R48" s="178"/>
      <c r="T48" s="178"/>
      <c r="U48" s="178"/>
    </row>
    <row r="49" spans="1:21" s="121" customFormat="1" ht="36">
      <c r="A49" s="456">
        <v>34</v>
      </c>
      <c r="B49" s="1508"/>
      <c r="C49" s="930" t="s">
        <v>234</v>
      </c>
      <c r="D49" s="500" t="s">
        <v>389</v>
      </c>
      <c r="E49" s="148">
        <v>109264.3</v>
      </c>
      <c r="F49" s="148">
        <v>110599.05</v>
      </c>
      <c r="G49" s="148">
        <v>114010</v>
      </c>
      <c r="H49" s="148">
        <v>116570</v>
      </c>
      <c r="I49" s="148">
        <v>116575</v>
      </c>
      <c r="J49" s="148">
        <v>122404</v>
      </c>
      <c r="K49" s="148">
        <v>128525</v>
      </c>
      <c r="L49" s="113"/>
      <c r="M49" s="113"/>
      <c r="N49" s="113"/>
      <c r="Q49" s="201"/>
      <c r="R49" s="178"/>
      <c r="T49" s="178"/>
      <c r="U49" s="178"/>
    </row>
    <row r="50" spans="1:21" s="121" customFormat="1" ht="48.75" thickBot="1">
      <c r="A50" s="965">
        <v>35</v>
      </c>
      <c r="B50" s="1509"/>
      <c r="C50" s="932" t="s">
        <v>218</v>
      </c>
      <c r="D50" s="940" t="s">
        <v>495</v>
      </c>
      <c r="E50" s="150">
        <v>49998.9</v>
      </c>
      <c r="F50" s="150">
        <v>47375.61</v>
      </c>
      <c r="G50" s="150">
        <v>63585</v>
      </c>
      <c r="H50" s="150">
        <v>74184</v>
      </c>
      <c r="I50" s="150">
        <v>83013</v>
      </c>
      <c r="J50" s="150">
        <v>87166</v>
      </c>
      <c r="K50" s="150">
        <v>91518</v>
      </c>
      <c r="L50" s="113"/>
      <c r="M50" s="113"/>
      <c r="N50" s="113"/>
      <c r="P50" s="170"/>
      <c r="Q50" s="178"/>
      <c r="R50" s="178"/>
      <c r="T50" s="178"/>
      <c r="U50" s="178"/>
    </row>
    <row r="51" spans="1:21" s="121" customFormat="1" ht="13.5" thickBot="1">
      <c r="A51" s="996"/>
      <c r="B51" s="997"/>
      <c r="C51" s="997" t="s">
        <v>390</v>
      </c>
      <c r="D51" s="998"/>
      <c r="E51" s="999"/>
      <c r="F51" s="999"/>
      <c r="G51" s="999"/>
      <c r="H51" s="1000"/>
      <c r="I51" s="1000"/>
      <c r="J51" s="999"/>
      <c r="K51" s="1000"/>
      <c r="L51" s="113"/>
      <c r="M51" s="113"/>
      <c r="N51" s="113"/>
      <c r="P51" s="170"/>
      <c r="Q51" s="178"/>
      <c r="R51" s="178"/>
      <c r="T51" s="178"/>
      <c r="U51" s="178"/>
    </row>
    <row r="52" spans="1:21" s="121" customFormat="1" ht="12.75">
      <c r="A52" s="456">
        <v>36</v>
      </c>
      <c r="B52" s="1001"/>
      <c r="C52" s="728" t="s">
        <v>218</v>
      </c>
      <c r="D52" s="500" t="s">
        <v>527</v>
      </c>
      <c r="E52" s="147">
        <v>0</v>
      </c>
      <c r="F52" s="147">
        <v>3595</v>
      </c>
      <c r="G52" s="147">
        <v>0</v>
      </c>
      <c r="H52" s="147">
        <f>'Bežné príjmy'!J67</f>
        <v>0</v>
      </c>
      <c r="I52" s="147">
        <f>'Bežné príjmy'!K67</f>
        <v>0</v>
      </c>
      <c r="J52" s="147">
        <f>'Bežné príjmy'!L67</f>
        <v>0</v>
      </c>
      <c r="K52" s="147">
        <f>'Bežné príjmy'!M67</f>
        <v>0</v>
      </c>
      <c r="L52" s="113"/>
      <c r="M52" s="113"/>
      <c r="N52" s="113"/>
      <c r="P52" s="170"/>
      <c r="Q52" s="178"/>
      <c r="R52" s="178"/>
      <c r="T52" s="178"/>
      <c r="U52" s="178"/>
    </row>
    <row r="53" spans="1:21" s="121" customFormat="1" ht="12.75">
      <c r="A53" s="456">
        <v>37</v>
      </c>
      <c r="B53" s="1001"/>
      <c r="C53" s="728" t="s">
        <v>218</v>
      </c>
      <c r="D53" s="500" t="s">
        <v>570</v>
      </c>
      <c r="E53" s="147">
        <v>3820</v>
      </c>
      <c r="F53" s="147">
        <v>7412</v>
      </c>
      <c r="G53" s="147">
        <v>0</v>
      </c>
      <c r="H53" s="147">
        <f>'Bežné príjmy'!J68</f>
        <v>8066</v>
      </c>
      <c r="I53" s="147">
        <f>'Bežné príjmy'!K68</f>
        <v>0</v>
      </c>
      <c r="J53" s="147">
        <f>'Bežné príjmy'!L68</f>
        <v>0</v>
      </c>
      <c r="K53" s="147">
        <f>'Bežné príjmy'!M68</f>
        <v>0</v>
      </c>
      <c r="L53" s="113"/>
      <c r="M53" s="113"/>
      <c r="N53" s="113"/>
      <c r="P53" s="170"/>
      <c r="Q53" s="178"/>
      <c r="R53" s="178"/>
      <c r="T53" s="178"/>
      <c r="U53" s="178"/>
    </row>
    <row r="54" spans="1:21" s="121" customFormat="1" ht="12.75">
      <c r="A54" s="456">
        <v>38</v>
      </c>
      <c r="B54" s="1001"/>
      <c r="C54" s="728" t="s">
        <v>218</v>
      </c>
      <c r="D54" s="500" t="s">
        <v>528</v>
      </c>
      <c r="E54" s="147">
        <v>0</v>
      </c>
      <c r="F54" s="147">
        <v>3141</v>
      </c>
      <c r="G54" s="147">
        <v>13823</v>
      </c>
      <c r="H54" s="147">
        <f>'Bežné príjmy'!J69</f>
        <v>14376</v>
      </c>
      <c r="I54" s="147">
        <f>'Bežné príjmy'!K69</f>
        <v>13823</v>
      </c>
      <c r="J54" s="147">
        <f>'Bežné príjmy'!L69</f>
        <v>13823</v>
      </c>
      <c r="K54" s="147">
        <f>'Bežné príjmy'!M69</f>
        <v>13823</v>
      </c>
      <c r="L54" s="113"/>
      <c r="M54" s="113"/>
      <c r="N54" s="113"/>
      <c r="P54" s="170"/>
      <c r="Q54" s="178"/>
      <c r="R54" s="178"/>
      <c r="T54" s="178"/>
      <c r="U54" s="178"/>
    </row>
    <row r="55" spans="1:21" s="121" customFormat="1" ht="12.75">
      <c r="A55" s="456">
        <v>39</v>
      </c>
      <c r="B55" s="1001"/>
      <c r="C55" s="728" t="s">
        <v>218</v>
      </c>
      <c r="D55" s="500" t="s">
        <v>541</v>
      </c>
      <c r="E55" s="147">
        <v>0</v>
      </c>
      <c r="F55" s="147">
        <v>0</v>
      </c>
      <c r="G55" s="147">
        <v>0</v>
      </c>
      <c r="H55" s="147">
        <v>940</v>
      </c>
      <c r="I55" s="147">
        <v>0</v>
      </c>
      <c r="J55" s="147">
        <v>0</v>
      </c>
      <c r="K55" s="147">
        <v>0</v>
      </c>
      <c r="L55" s="113"/>
      <c r="M55" s="113"/>
      <c r="N55" s="113"/>
      <c r="P55" s="170"/>
      <c r="Q55" s="178"/>
      <c r="R55" s="178"/>
      <c r="T55" s="178"/>
      <c r="U55" s="178"/>
    </row>
    <row r="56" spans="1:21" s="121" customFormat="1" ht="24">
      <c r="A56" s="456">
        <v>40</v>
      </c>
      <c r="B56" s="1001"/>
      <c r="C56" s="728" t="s">
        <v>218</v>
      </c>
      <c r="D56" s="500" t="s">
        <v>371</v>
      </c>
      <c r="E56" s="147">
        <v>2600</v>
      </c>
      <c r="F56" s="147">
        <v>5791.95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13"/>
      <c r="M56" s="113"/>
      <c r="N56" s="113"/>
      <c r="P56" s="170"/>
      <c r="Q56" s="178"/>
      <c r="R56" s="178"/>
      <c r="T56" s="178"/>
      <c r="U56" s="178"/>
    </row>
    <row r="57" spans="1:21" s="121" customFormat="1" ht="24">
      <c r="A57" s="456">
        <v>41</v>
      </c>
      <c r="B57" s="1002"/>
      <c r="C57" s="728" t="s">
        <v>218</v>
      </c>
      <c r="D57" s="758" t="s">
        <v>252</v>
      </c>
      <c r="E57" s="147">
        <v>0</v>
      </c>
      <c r="F57" s="147">
        <v>3150</v>
      </c>
      <c r="G57" s="147">
        <v>0</v>
      </c>
      <c r="H57" s="147">
        <v>1200</v>
      </c>
      <c r="I57" s="147">
        <v>0</v>
      </c>
      <c r="J57" s="147">
        <v>0</v>
      </c>
      <c r="K57" s="147">
        <v>0</v>
      </c>
      <c r="L57" s="113"/>
      <c r="M57" s="113"/>
      <c r="N57" s="113"/>
      <c r="Q57" s="178"/>
      <c r="R57" s="178"/>
      <c r="T57" s="178"/>
      <c r="U57" s="178"/>
    </row>
    <row r="58" spans="1:21" s="121" customFormat="1" ht="24">
      <c r="A58" s="456">
        <v>42</v>
      </c>
      <c r="B58" s="1003"/>
      <c r="C58" s="726" t="s">
        <v>218</v>
      </c>
      <c r="D58" s="758" t="s">
        <v>253</v>
      </c>
      <c r="E58" s="148">
        <v>0</v>
      </c>
      <c r="F58" s="148">
        <v>4000</v>
      </c>
      <c r="G58" s="148">
        <v>0</v>
      </c>
      <c r="H58" s="148">
        <v>3600</v>
      </c>
      <c r="I58" s="148">
        <v>0</v>
      </c>
      <c r="J58" s="148">
        <v>0</v>
      </c>
      <c r="K58" s="148">
        <v>0</v>
      </c>
      <c r="L58" s="113"/>
      <c r="M58" s="113"/>
      <c r="N58" s="113"/>
      <c r="Q58" s="178"/>
      <c r="R58" s="178"/>
      <c r="T58" s="178"/>
      <c r="U58" s="178"/>
    </row>
    <row r="59" spans="1:21" s="121" customFormat="1" ht="24">
      <c r="A59" s="456">
        <v>43</v>
      </c>
      <c r="B59" s="1003"/>
      <c r="C59" s="726" t="s">
        <v>218</v>
      </c>
      <c r="D59" s="758" t="s">
        <v>571</v>
      </c>
      <c r="E59" s="148">
        <v>0</v>
      </c>
      <c r="F59" s="148">
        <v>0</v>
      </c>
      <c r="G59" s="148">
        <v>0</v>
      </c>
      <c r="H59" s="148">
        <v>8829</v>
      </c>
      <c r="I59" s="148">
        <v>0</v>
      </c>
      <c r="J59" s="148">
        <v>0</v>
      </c>
      <c r="K59" s="148">
        <v>0</v>
      </c>
      <c r="L59" s="113"/>
      <c r="M59" s="113"/>
      <c r="N59" s="113"/>
      <c r="Q59" s="178"/>
      <c r="R59" s="178"/>
      <c r="T59" s="178"/>
      <c r="U59" s="178"/>
    </row>
    <row r="60" spans="1:21" s="121" customFormat="1" ht="24">
      <c r="A60" s="456">
        <v>44</v>
      </c>
      <c r="B60" s="1003"/>
      <c r="C60" s="726" t="s">
        <v>218</v>
      </c>
      <c r="D60" s="758" t="s">
        <v>451</v>
      </c>
      <c r="E60" s="148">
        <v>4029</v>
      </c>
      <c r="F60" s="148">
        <v>6639</v>
      </c>
      <c r="G60" s="148">
        <v>4000</v>
      </c>
      <c r="H60" s="148">
        <f>'Bežné príjmy'!J75</f>
        <v>5251</v>
      </c>
      <c r="I60" s="148">
        <f>'Bežné príjmy'!K75</f>
        <v>4700</v>
      </c>
      <c r="J60" s="148">
        <f>'Bežné príjmy'!L75</f>
        <v>4700</v>
      </c>
      <c r="K60" s="148">
        <f>'Bežné príjmy'!M75</f>
        <v>4700</v>
      </c>
      <c r="L60" s="113"/>
      <c r="M60" s="113"/>
      <c r="N60" s="113"/>
      <c r="Q60" s="178"/>
      <c r="R60" s="178"/>
      <c r="T60" s="178"/>
      <c r="U60" s="178"/>
    </row>
    <row r="61" spans="1:21" s="121" customFormat="1" ht="24">
      <c r="A61" s="456">
        <v>45</v>
      </c>
      <c r="B61" s="1004"/>
      <c r="C61" s="1005" t="s">
        <v>218</v>
      </c>
      <c r="D61" s="758" t="s">
        <v>452</v>
      </c>
      <c r="E61" s="147">
        <v>0</v>
      </c>
      <c r="F61" s="147">
        <v>400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13"/>
      <c r="M61" s="113"/>
      <c r="N61" s="113"/>
      <c r="Q61" s="178"/>
      <c r="R61" s="178"/>
      <c r="T61" s="178"/>
      <c r="U61" s="178"/>
    </row>
    <row r="62" spans="1:21" s="121" customFormat="1" ht="24.75" thickBot="1">
      <c r="A62" s="456">
        <v>46</v>
      </c>
      <c r="B62" s="471"/>
      <c r="C62" s="1005" t="s">
        <v>218</v>
      </c>
      <c r="D62" s="758" t="s">
        <v>688</v>
      </c>
      <c r="E62" s="147">
        <v>5200</v>
      </c>
      <c r="F62" s="147">
        <v>4938</v>
      </c>
      <c r="G62" s="147">
        <f>'Bežné príjmy'!I77</f>
        <v>6000</v>
      </c>
      <c r="H62" s="147">
        <v>6688</v>
      </c>
      <c r="I62" s="147">
        <f>'Bežné príjmy'!K77</f>
        <v>6500</v>
      </c>
      <c r="J62" s="147">
        <f>'Bežné príjmy'!L77</f>
        <v>6500</v>
      </c>
      <c r="K62" s="147">
        <f>'Bežné príjmy'!M77</f>
        <v>6500</v>
      </c>
      <c r="L62" s="113"/>
      <c r="M62" s="113"/>
      <c r="N62" s="113"/>
      <c r="Q62" s="178"/>
      <c r="R62" s="178"/>
      <c r="T62" s="178"/>
      <c r="U62" s="178"/>
    </row>
    <row r="63" spans="1:21" s="121" customFormat="1" ht="13.5" thickBot="1">
      <c r="A63" s="996"/>
      <c r="B63" s="997"/>
      <c r="C63" s="997" t="s">
        <v>391</v>
      </c>
      <c r="D63" s="998"/>
      <c r="E63" s="999"/>
      <c r="F63" s="999"/>
      <c r="G63" s="999"/>
      <c r="H63" s="1000"/>
      <c r="I63" s="999"/>
      <c r="J63" s="1000"/>
      <c r="K63" s="1006"/>
      <c r="L63" s="113"/>
      <c r="M63" s="113"/>
      <c r="N63" s="113"/>
      <c r="Q63" s="178"/>
      <c r="R63" s="178"/>
      <c r="T63" s="178"/>
      <c r="U63" s="178"/>
    </row>
    <row r="64" spans="1:21" s="121" customFormat="1" ht="36">
      <c r="A64" s="462">
        <v>47</v>
      </c>
      <c r="B64" s="471"/>
      <c r="C64" s="1005" t="s">
        <v>218</v>
      </c>
      <c r="D64" s="499" t="s">
        <v>306</v>
      </c>
      <c r="E64" s="147">
        <v>935.12</v>
      </c>
      <c r="F64" s="147">
        <v>0</v>
      </c>
      <c r="G64" s="147">
        <f>'Bežné príjmy'!I114</f>
        <v>1800</v>
      </c>
      <c r="H64" s="147">
        <v>1800</v>
      </c>
      <c r="I64" s="147">
        <f>'Bežné príjmy'!K114</f>
        <v>2000</v>
      </c>
      <c r="J64" s="147">
        <f>'Bežné príjmy'!L114</f>
        <v>2000</v>
      </c>
      <c r="K64" s="147">
        <f>'Bežné príjmy'!M114</f>
        <v>2000</v>
      </c>
      <c r="L64" s="113"/>
      <c r="M64" s="113"/>
      <c r="N64" s="113"/>
      <c r="Q64" s="178"/>
      <c r="R64" s="178"/>
      <c r="T64" s="178"/>
      <c r="U64" s="178"/>
    </row>
    <row r="65" spans="1:20" s="121" customFormat="1" ht="24">
      <c r="A65" s="456">
        <v>48</v>
      </c>
      <c r="B65" s="471"/>
      <c r="C65" s="1005"/>
      <c r="D65" s="1007" t="s">
        <v>572</v>
      </c>
      <c r="E65" s="1008">
        <v>11266.14</v>
      </c>
      <c r="F65" s="1008">
        <v>16931</v>
      </c>
      <c r="G65" s="1008">
        <v>0</v>
      </c>
      <c r="H65" s="1008">
        <v>12028</v>
      </c>
      <c r="I65" s="1008">
        <v>0</v>
      </c>
      <c r="J65" s="1008">
        <v>0</v>
      </c>
      <c r="K65" s="1008">
        <v>0</v>
      </c>
      <c r="L65" s="113"/>
      <c r="M65" s="113"/>
      <c r="N65" s="113"/>
      <c r="Q65" s="178"/>
      <c r="R65" s="178"/>
      <c r="T65" s="178"/>
    </row>
    <row r="66" spans="1:20" s="121" customFormat="1" ht="24.75" thickBot="1">
      <c r="A66" s="456">
        <v>49</v>
      </c>
      <c r="B66" s="1009"/>
      <c r="C66" s="953"/>
      <c r="D66" s="1010" t="s">
        <v>375</v>
      </c>
      <c r="E66" s="161">
        <v>0</v>
      </c>
      <c r="F66" s="161">
        <v>1828.99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13"/>
      <c r="M66" s="113"/>
      <c r="N66" s="113"/>
      <c r="P66" s="249"/>
      <c r="Q66" s="221"/>
      <c r="R66" s="178"/>
      <c r="T66" s="178"/>
    </row>
    <row r="67" spans="1:20" s="121" customFormat="1" ht="15" customHeight="1" thickBot="1">
      <c r="A67" s="988">
        <v>50</v>
      </c>
      <c r="B67" s="1011" t="s">
        <v>195</v>
      </c>
      <c r="C67" s="1012" t="s">
        <v>127</v>
      </c>
      <c r="D67" s="1012"/>
      <c r="E67" s="1013">
        <f>E69+E70+E71+E72+E73</f>
        <v>52987.42</v>
      </c>
      <c r="F67" s="1013">
        <f>F69+F70+F71+F72+F73</f>
        <v>58610.520000000004</v>
      </c>
      <c r="G67" s="1013">
        <f>SUM(G69:G73)</f>
        <v>67329</v>
      </c>
      <c r="H67" s="1013">
        <f>SUM(H69:H73)</f>
        <v>67329</v>
      </c>
      <c r="I67" s="1013">
        <f>SUM(I69:I73)</f>
        <v>79547</v>
      </c>
      <c r="J67" s="1013">
        <f>SUM(J69:J73)</f>
        <v>82775</v>
      </c>
      <c r="K67" s="1013">
        <f>SUM(K69:K73)</f>
        <v>86164</v>
      </c>
      <c r="L67" s="115"/>
      <c r="M67" s="115"/>
      <c r="N67" s="115"/>
      <c r="Q67" s="221"/>
      <c r="R67" s="178"/>
      <c r="T67" s="178"/>
    </row>
    <row r="68" spans="1:20" s="121" customFormat="1" ht="13.5" thickBot="1">
      <c r="A68" s="919"/>
      <c r="B68" s="920"/>
      <c r="C68" s="921" t="s">
        <v>384</v>
      </c>
      <c r="D68" s="922"/>
      <c r="E68" s="923"/>
      <c r="F68" s="923"/>
      <c r="G68" s="923"/>
      <c r="H68" s="1014"/>
      <c r="I68" s="923"/>
      <c r="J68" s="1014"/>
      <c r="K68" s="1015"/>
      <c r="L68" s="115"/>
      <c r="M68" s="115"/>
      <c r="N68" s="115"/>
      <c r="Q68" s="178"/>
      <c r="R68" s="178"/>
      <c r="T68" s="178"/>
    </row>
    <row r="69" spans="1:20" s="121" customFormat="1" ht="24">
      <c r="A69" s="456">
        <v>51</v>
      </c>
      <c r="B69" s="1501" t="s">
        <v>476</v>
      </c>
      <c r="C69" s="926" t="s">
        <v>233</v>
      </c>
      <c r="D69" s="1031" t="s">
        <v>316</v>
      </c>
      <c r="E69" s="928">
        <v>46071.42</v>
      </c>
      <c r="F69" s="928">
        <v>34296.85</v>
      </c>
      <c r="G69" s="928">
        <v>41012</v>
      </c>
      <c r="H69" s="928">
        <v>41012</v>
      </c>
      <c r="I69" s="928">
        <v>44200</v>
      </c>
      <c r="J69" s="928">
        <v>46410</v>
      </c>
      <c r="K69" s="928">
        <v>48731</v>
      </c>
      <c r="L69" s="351" t="s">
        <v>733</v>
      </c>
      <c r="M69" s="113"/>
      <c r="N69" s="113"/>
      <c r="Q69" s="178"/>
      <c r="R69" s="180"/>
      <c r="T69" s="178"/>
    </row>
    <row r="70" spans="1:20" s="121" customFormat="1" ht="12.75">
      <c r="A70" s="462">
        <v>52</v>
      </c>
      <c r="B70" s="1502"/>
      <c r="C70" s="930" t="s">
        <v>234</v>
      </c>
      <c r="D70" s="503" t="s">
        <v>108</v>
      </c>
      <c r="E70" s="148">
        <v>0</v>
      </c>
      <c r="F70" s="148">
        <v>12757.76</v>
      </c>
      <c r="G70" s="148">
        <v>14333</v>
      </c>
      <c r="H70" s="148">
        <v>14333</v>
      </c>
      <c r="I70" s="148">
        <v>15600</v>
      </c>
      <c r="J70" s="148">
        <v>16380</v>
      </c>
      <c r="K70" s="148">
        <v>17199</v>
      </c>
      <c r="L70" s="351" t="s">
        <v>734</v>
      </c>
      <c r="M70" s="113"/>
      <c r="N70" s="113"/>
      <c r="Q70" s="178"/>
      <c r="R70" s="178"/>
      <c r="T70" s="178"/>
    </row>
    <row r="71" spans="1:20" s="121" customFormat="1" ht="24.75" thickBot="1">
      <c r="A71" s="456">
        <v>53</v>
      </c>
      <c r="B71" s="1503"/>
      <c r="C71" s="932" t="s">
        <v>218</v>
      </c>
      <c r="D71" s="1032" t="s">
        <v>496</v>
      </c>
      <c r="E71" s="150">
        <v>0</v>
      </c>
      <c r="F71" s="150">
        <v>3486.39</v>
      </c>
      <c r="G71" s="150">
        <v>4484</v>
      </c>
      <c r="H71" s="150">
        <v>4484</v>
      </c>
      <c r="I71" s="150">
        <v>4747</v>
      </c>
      <c r="J71" s="150">
        <v>4985</v>
      </c>
      <c r="K71" s="150">
        <v>5234</v>
      </c>
      <c r="L71" s="351" t="s">
        <v>735</v>
      </c>
      <c r="M71" s="113"/>
      <c r="N71" s="113"/>
      <c r="Q71" s="178"/>
      <c r="R71" s="178"/>
      <c r="T71" s="178"/>
    </row>
    <row r="72" spans="1:20" s="121" customFormat="1" ht="24">
      <c r="A72" s="462">
        <v>54</v>
      </c>
      <c r="B72" s="471"/>
      <c r="C72" s="1005" t="s">
        <v>218</v>
      </c>
      <c r="D72" s="499" t="s">
        <v>294</v>
      </c>
      <c r="E72" s="147">
        <v>6916</v>
      </c>
      <c r="F72" s="147">
        <v>8049.52</v>
      </c>
      <c r="G72" s="147">
        <f>'Bežné príjmy'!I118</f>
        <v>7500</v>
      </c>
      <c r="H72" s="147">
        <v>7500</v>
      </c>
      <c r="I72" s="147">
        <f>'Bežné príjmy'!K118</f>
        <v>15000</v>
      </c>
      <c r="J72" s="147">
        <f>'Bežné príjmy'!L118</f>
        <v>15000</v>
      </c>
      <c r="K72" s="147">
        <f>'Bežné príjmy'!M118</f>
        <v>15000</v>
      </c>
      <c r="L72" s="113"/>
      <c r="M72" s="113"/>
      <c r="N72" s="113"/>
      <c r="Q72" s="178"/>
      <c r="R72" s="178"/>
      <c r="T72" s="178"/>
    </row>
    <row r="73" spans="1:18" s="121" customFormat="1" ht="13.5" thickBot="1">
      <c r="A73" s="456">
        <v>55</v>
      </c>
      <c r="B73" s="1016"/>
      <c r="C73" s="1017"/>
      <c r="D73" s="1018" t="s">
        <v>270</v>
      </c>
      <c r="E73" s="1019">
        <v>0</v>
      </c>
      <c r="F73" s="1019">
        <v>20</v>
      </c>
      <c r="G73" s="1019">
        <v>0</v>
      </c>
      <c r="H73" s="1019">
        <v>0</v>
      </c>
      <c r="I73" s="1019">
        <v>0</v>
      </c>
      <c r="J73" s="1019">
        <v>0</v>
      </c>
      <c r="K73" s="1019">
        <v>0</v>
      </c>
      <c r="L73" s="113"/>
      <c r="M73" s="113"/>
      <c r="N73" s="113"/>
      <c r="P73" s="249"/>
      <c r="Q73" s="221"/>
      <c r="R73" s="178"/>
    </row>
    <row r="74" spans="1:18" s="121" customFormat="1" ht="15" customHeight="1" thickBot="1">
      <c r="A74" s="988">
        <v>56</v>
      </c>
      <c r="B74" s="166" t="s">
        <v>196</v>
      </c>
      <c r="C74" s="1012" t="s">
        <v>128</v>
      </c>
      <c r="D74" s="1012"/>
      <c r="E74" s="1013">
        <f aca="true" t="shared" si="4" ref="E74:K74">SUM(E76:E84)</f>
        <v>112967.59000000001</v>
      </c>
      <c r="F74" s="1013">
        <f t="shared" si="4"/>
        <v>107392.65999999999</v>
      </c>
      <c r="G74" s="1013">
        <f t="shared" si="4"/>
        <v>133555</v>
      </c>
      <c r="H74" s="1013">
        <f t="shared" si="4"/>
        <v>178702.77</v>
      </c>
      <c r="I74" s="1013">
        <f t="shared" si="4"/>
        <v>147960</v>
      </c>
      <c r="J74" s="1013">
        <f t="shared" si="4"/>
        <v>151658</v>
      </c>
      <c r="K74" s="1013">
        <f t="shared" si="4"/>
        <v>155541</v>
      </c>
      <c r="L74" s="186"/>
      <c r="M74" s="115"/>
      <c r="N74" s="115"/>
      <c r="Q74" s="221"/>
      <c r="R74" s="178"/>
    </row>
    <row r="75" spans="1:18" s="121" customFormat="1" ht="13.5" thickBot="1">
      <c r="A75" s="919"/>
      <c r="B75" s="920"/>
      <c r="C75" s="921" t="s">
        <v>384</v>
      </c>
      <c r="D75" s="922"/>
      <c r="E75" s="923"/>
      <c r="F75" s="923"/>
      <c r="G75" s="923"/>
      <c r="H75" s="1014"/>
      <c r="I75" s="923"/>
      <c r="J75" s="1014"/>
      <c r="K75" s="1015"/>
      <c r="L75" s="186"/>
      <c r="M75" s="115"/>
      <c r="N75" s="115"/>
      <c r="Q75" s="178"/>
      <c r="R75" s="178"/>
    </row>
    <row r="76" spans="1:18" s="121" customFormat="1" ht="24" customHeight="1">
      <c r="A76" s="955">
        <v>57</v>
      </c>
      <c r="B76" s="1501" t="s">
        <v>476</v>
      </c>
      <c r="C76" s="926" t="s">
        <v>233</v>
      </c>
      <c r="D76" s="1291" t="s">
        <v>316</v>
      </c>
      <c r="E76" s="1290">
        <v>56463.36</v>
      </c>
      <c r="F76" s="928">
        <v>41027.78</v>
      </c>
      <c r="G76" s="928">
        <v>47836</v>
      </c>
      <c r="H76" s="928">
        <v>47836</v>
      </c>
      <c r="I76" s="928">
        <v>50700</v>
      </c>
      <c r="J76" s="928">
        <v>53235</v>
      </c>
      <c r="K76" s="928">
        <v>55897</v>
      </c>
      <c r="L76" s="351" t="s">
        <v>736</v>
      </c>
      <c r="M76" s="113"/>
      <c r="N76" s="113"/>
      <c r="Q76" s="178"/>
      <c r="R76" s="180"/>
    </row>
    <row r="77" spans="1:18" s="121" customFormat="1" ht="12.75">
      <c r="A77" s="1250">
        <v>58</v>
      </c>
      <c r="B77" s="1502"/>
      <c r="C77" s="930" t="s">
        <v>234</v>
      </c>
      <c r="D77" s="1149" t="s">
        <v>108</v>
      </c>
      <c r="E77" s="1105">
        <v>0</v>
      </c>
      <c r="F77" s="148">
        <v>14287.22</v>
      </c>
      <c r="G77" s="148">
        <v>16719</v>
      </c>
      <c r="H77" s="148">
        <v>16719</v>
      </c>
      <c r="I77" s="147">
        <v>17940</v>
      </c>
      <c r="J77" s="147">
        <v>18837</v>
      </c>
      <c r="K77" s="147">
        <v>19779</v>
      </c>
      <c r="L77" s="351" t="s">
        <v>737</v>
      </c>
      <c r="M77" s="113"/>
      <c r="N77" s="113"/>
      <c r="Q77" s="178"/>
      <c r="R77" s="178"/>
    </row>
    <row r="78" spans="1:18" s="121" customFormat="1" ht="24.75" thickBot="1">
      <c r="A78" s="1248">
        <v>59</v>
      </c>
      <c r="B78" s="1503"/>
      <c r="C78" s="932" t="s">
        <v>218</v>
      </c>
      <c r="D78" s="1292" t="s">
        <v>696</v>
      </c>
      <c r="E78" s="1337">
        <v>0</v>
      </c>
      <c r="F78" s="1338">
        <v>0</v>
      </c>
      <c r="G78" s="1338">
        <v>0</v>
      </c>
      <c r="H78" s="1339">
        <v>0</v>
      </c>
      <c r="I78" s="1301">
        <v>5320</v>
      </c>
      <c r="J78" s="951">
        <v>5586</v>
      </c>
      <c r="K78" s="1249">
        <v>5865</v>
      </c>
      <c r="L78" s="1303" t="s">
        <v>780</v>
      </c>
      <c r="M78" s="1304"/>
      <c r="N78" s="113"/>
      <c r="Q78" s="178"/>
      <c r="R78" s="178"/>
    </row>
    <row r="79" spans="1:18" s="121" customFormat="1" ht="13.5" thickBot="1">
      <c r="A79" s="996"/>
      <c r="B79" s="997"/>
      <c r="C79" s="997" t="s">
        <v>391</v>
      </c>
      <c r="D79" s="998"/>
      <c r="E79" s="999"/>
      <c r="F79" s="999"/>
      <c r="G79" s="999"/>
      <c r="H79" s="1000"/>
      <c r="I79" s="999"/>
      <c r="J79" s="1000"/>
      <c r="K79" s="1006"/>
      <c r="L79" s="113"/>
      <c r="M79" s="113"/>
      <c r="N79" s="113"/>
      <c r="P79" s="173"/>
      <c r="Q79" s="178"/>
      <c r="R79" s="178"/>
    </row>
    <row r="80" spans="1:18" s="121" customFormat="1" ht="60">
      <c r="A80" s="462">
        <v>60</v>
      </c>
      <c r="B80" s="1505" t="s">
        <v>310</v>
      </c>
      <c r="C80" s="1506"/>
      <c r="D80" s="499" t="s">
        <v>689</v>
      </c>
      <c r="E80" s="147">
        <v>21310.58</v>
      </c>
      <c r="F80" s="147">
        <v>17639.12</v>
      </c>
      <c r="G80" s="147">
        <f>'Bežné príjmy'!I115</f>
        <v>21000</v>
      </c>
      <c r="H80" s="147">
        <v>21000</v>
      </c>
      <c r="I80" s="147">
        <f>'Bežné príjmy'!K115</f>
        <v>17000</v>
      </c>
      <c r="J80" s="147">
        <f>'Bežné príjmy'!L115</f>
        <v>17000</v>
      </c>
      <c r="K80" s="147">
        <f>'Bežné príjmy'!M115</f>
        <v>17000</v>
      </c>
      <c r="L80" s="113"/>
      <c r="M80" s="113"/>
      <c r="N80" s="113"/>
      <c r="Q80" s="178"/>
      <c r="R80" s="178"/>
    </row>
    <row r="81" spans="1:18" s="121" customFormat="1" ht="48">
      <c r="A81" s="462">
        <v>61</v>
      </c>
      <c r="B81" s="1516" t="s">
        <v>310</v>
      </c>
      <c r="C81" s="1517"/>
      <c r="D81" s="499" t="s">
        <v>497</v>
      </c>
      <c r="E81" s="951">
        <v>3245.37</v>
      </c>
      <c r="F81" s="951">
        <v>0</v>
      </c>
      <c r="G81" s="951">
        <f>'Bežné príjmy'!I113+'Bežné príjmy'!I117</f>
        <v>1800</v>
      </c>
      <c r="H81" s="951">
        <f>'Bežné príjmy'!J113+'Bežné príjmy'!J117</f>
        <v>1800</v>
      </c>
      <c r="I81" s="951">
        <f>'Bežné príjmy'!K113+'Bežné príjmy'!K117</f>
        <v>2000</v>
      </c>
      <c r="J81" s="951">
        <f>'Bežné príjmy'!L113+'Bežné príjmy'!L117</f>
        <v>2000</v>
      </c>
      <c r="K81" s="951">
        <f>'Bežné príjmy'!M113+'Bežné príjmy'!M117</f>
        <v>2000</v>
      </c>
      <c r="L81" s="113"/>
      <c r="M81" s="113"/>
      <c r="N81" s="113"/>
      <c r="Q81" s="178"/>
      <c r="R81" s="178"/>
    </row>
    <row r="82" spans="1:18" s="121" customFormat="1" ht="48">
      <c r="A82" s="963">
        <v>62</v>
      </c>
      <c r="B82" s="1516" t="s">
        <v>310</v>
      </c>
      <c r="C82" s="1517"/>
      <c r="D82" s="585" t="s">
        <v>498</v>
      </c>
      <c r="E82" s="161">
        <v>17625.79</v>
      </c>
      <c r="F82" s="161">
        <v>31309.18</v>
      </c>
      <c r="G82" s="161">
        <f>'Bežné príjmy'!I116</f>
        <v>46200</v>
      </c>
      <c r="H82" s="161">
        <v>46200</v>
      </c>
      <c r="I82" s="161">
        <f>'Bežné príjmy'!K116</f>
        <v>55000</v>
      </c>
      <c r="J82" s="161">
        <f>'Bežné príjmy'!L116</f>
        <v>55000</v>
      </c>
      <c r="K82" s="161">
        <f>'Bežné príjmy'!M116</f>
        <v>55000</v>
      </c>
      <c r="L82" s="113"/>
      <c r="M82" s="113"/>
      <c r="N82" s="113"/>
      <c r="Q82" s="178"/>
      <c r="R82" s="178"/>
    </row>
    <row r="83" spans="1:18" s="121" customFormat="1" ht="12.75">
      <c r="A83" s="462">
        <v>63</v>
      </c>
      <c r="B83" s="727"/>
      <c r="C83" s="726" t="s">
        <v>218</v>
      </c>
      <c r="D83" s="1020" t="s">
        <v>573</v>
      </c>
      <c r="E83" s="148">
        <v>10392</v>
      </c>
      <c r="F83" s="148">
        <v>202.8</v>
      </c>
      <c r="G83" s="148">
        <f>'Bežné príjmy'!I92</f>
        <v>0</v>
      </c>
      <c r="H83" s="148">
        <f>'Bežné príjmy'!J92-'Výdavky Program 10'!H24</f>
        <v>42583.5</v>
      </c>
      <c r="I83" s="148">
        <f>'Bežné príjmy'!K92</f>
        <v>0</v>
      </c>
      <c r="J83" s="148">
        <f>'Bežné príjmy'!L92</f>
        <v>0</v>
      </c>
      <c r="K83" s="148">
        <f>'Bežné príjmy'!M92</f>
        <v>0</v>
      </c>
      <c r="L83" s="113"/>
      <c r="M83" s="113"/>
      <c r="N83" s="113"/>
      <c r="Q83" s="178"/>
      <c r="R83" s="178"/>
    </row>
    <row r="84" spans="1:22" s="121" customFormat="1" ht="24.75" thickBot="1">
      <c r="A84" s="456">
        <v>64</v>
      </c>
      <c r="B84" s="1021"/>
      <c r="C84" s="939"/>
      <c r="D84" s="968" t="s">
        <v>369</v>
      </c>
      <c r="E84" s="1022">
        <v>3930.49</v>
      </c>
      <c r="F84" s="1022">
        <v>2926.56</v>
      </c>
      <c r="G84" s="1022">
        <v>0</v>
      </c>
      <c r="H84" s="1022">
        <v>2564.27</v>
      </c>
      <c r="I84" s="1022">
        <v>0</v>
      </c>
      <c r="J84" s="1022">
        <v>0</v>
      </c>
      <c r="K84" s="1022">
        <v>0</v>
      </c>
      <c r="L84" s="113"/>
      <c r="M84" s="113"/>
      <c r="N84" s="113"/>
      <c r="Q84" s="178"/>
      <c r="R84" s="178"/>
      <c r="S84" s="178"/>
      <c r="T84" s="178"/>
      <c r="U84" s="178"/>
      <c r="V84" s="178"/>
    </row>
    <row r="85" spans="1:18" s="121" customFormat="1" ht="13.5" thickBot="1">
      <c r="A85" s="988">
        <v>65</v>
      </c>
      <c r="B85" s="1023">
        <v>3</v>
      </c>
      <c r="C85" s="1024" t="s">
        <v>164</v>
      </c>
      <c r="D85" s="1025"/>
      <c r="E85" s="1026">
        <f aca="true" t="shared" si="5" ref="E85:K86">E86</f>
        <v>0</v>
      </c>
      <c r="F85" s="1026">
        <f t="shared" si="5"/>
        <v>135</v>
      </c>
      <c r="G85" s="1026">
        <f t="shared" si="5"/>
        <v>0</v>
      </c>
      <c r="H85" s="1026">
        <f t="shared" si="5"/>
        <v>474</v>
      </c>
      <c r="I85" s="1026">
        <f t="shared" si="5"/>
        <v>500</v>
      </c>
      <c r="J85" s="1026">
        <f t="shared" si="5"/>
        <v>500</v>
      </c>
      <c r="K85" s="1026">
        <f t="shared" si="5"/>
        <v>500</v>
      </c>
      <c r="L85" s="114"/>
      <c r="M85" s="114"/>
      <c r="N85" s="114"/>
      <c r="Q85" s="178"/>
      <c r="R85" s="178"/>
    </row>
    <row r="86" spans="1:18" s="121" customFormat="1" ht="15" customHeight="1" thickBot="1">
      <c r="A86" s="955">
        <v>66</v>
      </c>
      <c r="B86" s="166" t="s">
        <v>195</v>
      </c>
      <c r="C86" s="1027" t="s">
        <v>165</v>
      </c>
      <c r="D86" s="1028"/>
      <c r="E86" s="1013">
        <f t="shared" si="5"/>
        <v>0</v>
      </c>
      <c r="F86" s="1013">
        <f t="shared" si="5"/>
        <v>135</v>
      </c>
      <c r="G86" s="1013">
        <f t="shared" si="5"/>
        <v>0</v>
      </c>
      <c r="H86" s="1013">
        <f t="shared" si="5"/>
        <v>474</v>
      </c>
      <c r="I86" s="1013">
        <f t="shared" si="5"/>
        <v>500</v>
      </c>
      <c r="J86" s="1013">
        <f t="shared" si="5"/>
        <v>500</v>
      </c>
      <c r="K86" s="1013">
        <f t="shared" si="5"/>
        <v>500</v>
      </c>
      <c r="L86" s="115"/>
      <c r="M86" s="115"/>
      <c r="N86" s="115"/>
      <c r="Q86" s="178"/>
      <c r="R86" s="178"/>
    </row>
    <row r="87" spans="1:18" s="121" customFormat="1" ht="24.75" thickBot="1">
      <c r="A87" s="734">
        <v>67</v>
      </c>
      <c r="B87" s="1029"/>
      <c r="C87" s="939" t="s">
        <v>219</v>
      </c>
      <c r="D87" s="1030" t="s">
        <v>574</v>
      </c>
      <c r="E87" s="941">
        <v>0</v>
      </c>
      <c r="F87" s="941">
        <v>135</v>
      </c>
      <c r="G87" s="941">
        <v>0</v>
      </c>
      <c r="H87" s="941">
        <v>474</v>
      </c>
      <c r="I87" s="941">
        <v>500</v>
      </c>
      <c r="J87" s="941">
        <v>500</v>
      </c>
      <c r="K87" s="941">
        <v>500</v>
      </c>
      <c r="L87" s="113"/>
      <c r="M87" s="113"/>
      <c r="N87" s="113"/>
      <c r="O87" s="143"/>
      <c r="Q87" s="178"/>
      <c r="R87" s="178"/>
    </row>
    <row r="88" spans="1:18" s="121" customFormat="1" ht="12.75">
      <c r="A88" s="251"/>
      <c r="B88" s="252"/>
      <c r="C88" s="253"/>
      <c r="D88" s="254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Q88" s="178"/>
      <c r="R88" s="178"/>
    </row>
    <row r="89" spans="1:18" s="121" customFormat="1" ht="15" thickBot="1">
      <c r="A89" s="222"/>
      <c r="B89" s="223" t="s">
        <v>232</v>
      </c>
      <c r="L89" s="224"/>
      <c r="M89" s="224"/>
      <c r="N89" s="224"/>
      <c r="Q89" s="178"/>
      <c r="R89" s="178"/>
    </row>
    <row r="90" spans="1:18" s="121" customFormat="1" ht="15.75" thickBot="1">
      <c r="A90" s="1498" t="s">
        <v>9</v>
      </c>
      <c r="B90" s="1499"/>
      <c r="C90" s="1499"/>
      <c r="D90" s="1500"/>
      <c r="E90" s="225" t="s">
        <v>262</v>
      </c>
      <c r="F90" s="225" t="s">
        <v>262</v>
      </c>
      <c r="G90" s="226" t="s">
        <v>263</v>
      </c>
      <c r="H90" s="226" t="s">
        <v>216</v>
      </c>
      <c r="I90" s="227" t="s">
        <v>12</v>
      </c>
      <c r="J90" s="228" t="s">
        <v>12</v>
      </c>
      <c r="K90" s="229" t="s">
        <v>12</v>
      </c>
      <c r="L90" s="230"/>
      <c r="M90" s="230"/>
      <c r="N90" s="230"/>
      <c r="Q90" s="178"/>
      <c r="R90" s="178"/>
    </row>
    <row r="91" spans="1:18" s="121" customFormat="1" ht="12.75">
      <c r="A91" s="102"/>
      <c r="B91" s="103"/>
      <c r="C91" s="104"/>
      <c r="D91" s="179"/>
      <c r="E91" s="231"/>
      <c r="F91" s="231"/>
      <c r="G91" s="232" t="s">
        <v>215</v>
      </c>
      <c r="H91" s="232" t="s">
        <v>217</v>
      </c>
      <c r="I91" s="233"/>
      <c r="J91" s="234" t="s">
        <v>320</v>
      </c>
      <c r="K91" s="234" t="s">
        <v>320</v>
      </c>
      <c r="L91" s="235"/>
      <c r="M91" s="235"/>
      <c r="N91" s="235"/>
      <c r="Q91" s="178"/>
      <c r="R91" s="178"/>
    </row>
    <row r="92" spans="1:18" s="121" customFormat="1" ht="15.75">
      <c r="A92" s="1466" t="s">
        <v>467</v>
      </c>
      <c r="B92" s="1468" t="s">
        <v>468</v>
      </c>
      <c r="C92" s="1468" t="s">
        <v>469</v>
      </c>
      <c r="D92" s="1470" t="s">
        <v>5</v>
      </c>
      <c r="E92" s="236" t="s">
        <v>272</v>
      </c>
      <c r="F92" s="236" t="s">
        <v>284</v>
      </c>
      <c r="G92" s="237">
        <v>2023</v>
      </c>
      <c r="H92" s="238" t="s">
        <v>332</v>
      </c>
      <c r="I92" s="239">
        <v>2024</v>
      </c>
      <c r="J92" s="240" t="s">
        <v>421</v>
      </c>
      <c r="K92" s="241">
        <v>2026</v>
      </c>
      <c r="L92" s="242"/>
      <c r="M92" s="242"/>
      <c r="N92" s="242"/>
      <c r="Q92" s="178"/>
      <c r="R92" s="178"/>
    </row>
    <row r="93" spans="1:18" s="121" customFormat="1" ht="13.5" thickBot="1">
      <c r="A93" s="1467"/>
      <c r="B93" s="1469"/>
      <c r="C93" s="1469"/>
      <c r="D93" s="1471"/>
      <c r="E93" s="243" t="s">
        <v>207</v>
      </c>
      <c r="F93" s="243" t="s">
        <v>207</v>
      </c>
      <c r="G93" s="244" t="s">
        <v>207</v>
      </c>
      <c r="H93" s="244" t="s">
        <v>207</v>
      </c>
      <c r="I93" s="245" t="s">
        <v>207</v>
      </c>
      <c r="J93" s="246" t="s">
        <v>207</v>
      </c>
      <c r="K93" s="247" t="s">
        <v>207</v>
      </c>
      <c r="L93" s="248"/>
      <c r="M93" s="248"/>
      <c r="N93" s="248"/>
      <c r="Q93" s="178"/>
      <c r="R93" s="178"/>
    </row>
    <row r="94" spans="1:18" s="121" customFormat="1" ht="14.25" thickBot="1" thickTop="1">
      <c r="A94" s="456">
        <v>1</v>
      </c>
      <c r="B94" s="459" t="s">
        <v>106</v>
      </c>
      <c r="C94" s="738"/>
      <c r="D94" s="856"/>
      <c r="E94" s="154">
        <f>E95+E98</f>
        <v>1188</v>
      </c>
      <c r="F94" s="154">
        <f aca="true" t="shared" si="6" ref="F94:K94">F95+F98</f>
        <v>3941.1</v>
      </c>
      <c r="G94" s="154">
        <f t="shared" si="6"/>
        <v>0</v>
      </c>
      <c r="H94" s="154">
        <f t="shared" si="6"/>
        <v>0</v>
      </c>
      <c r="I94" s="154">
        <f t="shared" si="6"/>
        <v>0</v>
      </c>
      <c r="J94" s="154">
        <f t="shared" si="6"/>
        <v>0</v>
      </c>
      <c r="K94" s="154">
        <f t="shared" si="6"/>
        <v>0</v>
      </c>
      <c r="L94" s="182"/>
      <c r="M94" s="182"/>
      <c r="N94" s="182"/>
      <c r="Q94" s="178"/>
      <c r="R94" s="178"/>
    </row>
    <row r="95" spans="1:18" s="121" customFormat="1" ht="14.25" thickBot="1" thickTop="1">
      <c r="A95" s="462">
        <v>2</v>
      </c>
      <c r="B95" s="914">
        <v>1</v>
      </c>
      <c r="C95" s="492" t="s">
        <v>107</v>
      </c>
      <c r="D95" s="493"/>
      <c r="E95" s="157">
        <f aca="true" t="shared" si="7" ref="E95:K96">E96</f>
        <v>1188</v>
      </c>
      <c r="F95" s="157">
        <f t="shared" si="7"/>
        <v>0</v>
      </c>
      <c r="G95" s="157">
        <f t="shared" si="7"/>
        <v>0</v>
      </c>
      <c r="H95" s="157">
        <f t="shared" si="7"/>
        <v>0</v>
      </c>
      <c r="I95" s="157">
        <f t="shared" si="7"/>
        <v>0</v>
      </c>
      <c r="J95" s="157">
        <f t="shared" si="7"/>
        <v>0</v>
      </c>
      <c r="K95" s="157">
        <f t="shared" si="7"/>
        <v>0</v>
      </c>
      <c r="L95" s="182"/>
      <c r="M95" s="182"/>
      <c r="N95" s="182"/>
      <c r="Q95" s="178"/>
      <c r="R95" s="178"/>
    </row>
    <row r="96" spans="1:18" s="121" customFormat="1" ht="13.5" thickBot="1">
      <c r="A96" s="988">
        <v>3</v>
      </c>
      <c r="B96" s="1011" t="s">
        <v>194</v>
      </c>
      <c r="C96" s="1033" t="s">
        <v>85</v>
      </c>
      <c r="D96" s="1034"/>
      <c r="E96" s="1035">
        <f>E97</f>
        <v>1188</v>
      </c>
      <c r="F96" s="1035">
        <f>F97</f>
        <v>0</v>
      </c>
      <c r="G96" s="1035">
        <f t="shared" si="7"/>
        <v>0</v>
      </c>
      <c r="H96" s="1035">
        <f t="shared" si="7"/>
        <v>0</v>
      </c>
      <c r="I96" s="1035">
        <f t="shared" si="7"/>
        <v>0</v>
      </c>
      <c r="J96" s="1035">
        <f t="shared" si="7"/>
        <v>0</v>
      </c>
      <c r="K96" s="1035">
        <f t="shared" si="7"/>
        <v>0</v>
      </c>
      <c r="L96" s="182"/>
      <c r="M96" s="182"/>
      <c r="N96" s="182"/>
      <c r="Q96" s="178"/>
      <c r="R96" s="178"/>
    </row>
    <row r="97" spans="1:18" s="121" customFormat="1" ht="48.75" thickBot="1">
      <c r="A97" s="456">
        <v>4</v>
      </c>
      <c r="B97" s="1036"/>
      <c r="C97" s="1037" t="s">
        <v>222</v>
      </c>
      <c r="D97" s="1038" t="s">
        <v>397</v>
      </c>
      <c r="E97" s="995">
        <v>1188</v>
      </c>
      <c r="F97" s="995">
        <v>0</v>
      </c>
      <c r="G97" s="995">
        <v>0</v>
      </c>
      <c r="H97" s="995">
        <v>0</v>
      </c>
      <c r="I97" s="995">
        <v>0</v>
      </c>
      <c r="J97" s="995">
        <v>0</v>
      </c>
      <c r="K97" s="995">
        <v>0</v>
      </c>
      <c r="L97" s="198"/>
      <c r="M97" s="182"/>
      <c r="N97" s="182"/>
      <c r="Q97" s="178"/>
      <c r="R97" s="178"/>
    </row>
    <row r="98" spans="1:18" s="121" customFormat="1" ht="13.5" thickBot="1">
      <c r="A98" s="988">
        <v>5</v>
      </c>
      <c r="B98" s="989">
        <v>2</v>
      </c>
      <c r="C98" s="990" t="s">
        <v>87</v>
      </c>
      <c r="D98" s="1039"/>
      <c r="E98" s="992">
        <f aca="true" t="shared" si="8" ref="E98:K98">E99</f>
        <v>0</v>
      </c>
      <c r="F98" s="992">
        <f t="shared" si="8"/>
        <v>3941.1</v>
      </c>
      <c r="G98" s="992">
        <f t="shared" si="8"/>
        <v>0</v>
      </c>
      <c r="H98" s="992">
        <f t="shared" si="8"/>
        <v>0</v>
      </c>
      <c r="I98" s="992">
        <f t="shared" si="8"/>
        <v>0</v>
      </c>
      <c r="J98" s="992">
        <f t="shared" si="8"/>
        <v>0</v>
      </c>
      <c r="K98" s="992">
        <f t="shared" si="8"/>
        <v>0</v>
      </c>
      <c r="L98" s="183"/>
      <c r="M98" s="183"/>
      <c r="N98" s="183"/>
      <c r="Q98" s="178"/>
      <c r="R98" s="178"/>
    </row>
    <row r="99" spans="1:18" s="121" customFormat="1" ht="13.5" thickBot="1">
      <c r="A99" s="456">
        <v>6</v>
      </c>
      <c r="B99" s="454" t="s">
        <v>196</v>
      </c>
      <c r="C99" s="1012" t="s">
        <v>128</v>
      </c>
      <c r="D99" s="1012"/>
      <c r="E99" s="1035">
        <f>E100</f>
        <v>0</v>
      </c>
      <c r="F99" s="1035">
        <f>F100</f>
        <v>3941.1</v>
      </c>
      <c r="G99" s="1035">
        <f>SUM(G100:G100)</f>
        <v>0</v>
      </c>
      <c r="H99" s="1035">
        <f>SUM(H100:H100)</f>
        <v>0</v>
      </c>
      <c r="I99" s="1035">
        <f>SUM(I100:I100)</f>
        <v>0</v>
      </c>
      <c r="J99" s="1035">
        <f>SUM(J100:J100)</f>
        <v>0</v>
      </c>
      <c r="K99" s="1035">
        <f>SUM(K100:K100)</f>
        <v>0</v>
      </c>
      <c r="L99" s="182"/>
      <c r="M99" s="182"/>
      <c r="N99" s="182"/>
      <c r="Q99" s="178"/>
      <c r="R99" s="178"/>
    </row>
    <row r="100" spans="1:18" s="121" customFormat="1" ht="24.75" thickBot="1">
      <c r="A100" s="909">
        <v>7</v>
      </c>
      <c r="B100" s="1040"/>
      <c r="C100" s="939" t="s">
        <v>222</v>
      </c>
      <c r="D100" s="1041" t="s">
        <v>690</v>
      </c>
      <c r="E100" s="941">
        <v>0</v>
      </c>
      <c r="F100" s="941">
        <v>3941.1</v>
      </c>
      <c r="G100" s="941">
        <v>0</v>
      </c>
      <c r="H100" s="941">
        <v>0</v>
      </c>
      <c r="I100" s="941">
        <v>0</v>
      </c>
      <c r="J100" s="941">
        <v>0</v>
      </c>
      <c r="K100" s="941">
        <v>0</v>
      </c>
      <c r="L100" s="198"/>
      <c r="M100" s="113"/>
      <c r="N100" s="113"/>
      <c r="Q100" s="178"/>
      <c r="R100" s="178"/>
    </row>
    <row r="101" spans="1:24" s="168" customFormat="1" ht="12.75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7"/>
      <c r="M101" s="257"/>
      <c r="N101" s="257"/>
      <c r="O101" s="256"/>
      <c r="P101" s="256"/>
      <c r="Q101" s="202"/>
      <c r="R101" s="202"/>
      <c r="S101" s="256"/>
      <c r="T101" s="256"/>
      <c r="U101" s="256"/>
      <c r="V101" s="256"/>
      <c r="W101" s="256"/>
      <c r="X101" s="256"/>
    </row>
    <row r="102" spans="1:24" s="168" customFormat="1" ht="12.75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7"/>
      <c r="M102" s="257"/>
      <c r="N102" s="257"/>
      <c r="O102" s="256"/>
      <c r="P102" s="256"/>
      <c r="Q102" s="202"/>
      <c r="R102" s="202"/>
      <c r="S102" s="256"/>
      <c r="T102" s="256"/>
      <c r="U102" s="256"/>
      <c r="V102" s="256"/>
      <c r="W102" s="256"/>
      <c r="X102" s="256"/>
    </row>
    <row r="103" spans="1:24" s="168" customFormat="1" ht="12.75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7"/>
      <c r="M103" s="257"/>
      <c r="N103" s="257"/>
      <c r="O103" s="256"/>
      <c r="P103" s="256"/>
      <c r="Q103" s="202"/>
      <c r="R103" s="202"/>
      <c r="S103" s="256"/>
      <c r="T103" s="256"/>
      <c r="U103" s="256"/>
      <c r="V103" s="256"/>
      <c r="W103" s="256"/>
      <c r="X103" s="256"/>
    </row>
    <row r="104" spans="1:24" s="168" customFormat="1" ht="12.7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7"/>
      <c r="M104" s="257"/>
      <c r="N104" s="257"/>
      <c r="O104" s="256"/>
      <c r="P104" s="256"/>
      <c r="Q104" s="202"/>
      <c r="R104" s="202"/>
      <c r="S104" s="256"/>
      <c r="T104" s="256"/>
      <c r="U104" s="256"/>
      <c r="V104" s="256"/>
      <c r="W104" s="256"/>
      <c r="X104" s="256"/>
    </row>
    <row r="105" spans="1:24" s="346" customFormat="1" ht="12.75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03"/>
      <c r="R105" s="203"/>
      <c r="S105" s="257"/>
      <c r="T105" s="257"/>
      <c r="U105" s="257"/>
      <c r="V105" s="257"/>
      <c r="W105" s="257"/>
      <c r="X105" s="257"/>
    </row>
    <row r="106" spans="1:24" s="346" customFormat="1" ht="12.75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03"/>
      <c r="R106" s="203"/>
      <c r="S106" s="257"/>
      <c r="T106" s="257"/>
      <c r="U106" s="257"/>
      <c r="V106" s="257"/>
      <c r="W106" s="257"/>
      <c r="X106" s="257"/>
    </row>
    <row r="107" spans="1:24" s="346" customFormat="1" ht="12.75">
      <c r="A107" s="257"/>
      <c r="B107" s="257"/>
      <c r="C107" s="257"/>
      <c r="D107" s="131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03"/>
      <c r="R107" s="203"/>
      <c r="S107" s="257"/>
      <c r="T107" s="257"/>
      <c r="U107" s="257"/>
      <c r="V107" s="257"/>
      <c r="W107" s="257"/>
      <c r="X107" s="257"/>
    </row>
    <row r="108" spans="4:7" s="203" customFormat="1" ht="15.75" customHeight="1">
      <c r="D108" s="1318"/>
      <c r="E108" s="258"/>
      <c r="F108" s="258"/>
      <c r="G108" s="258"/>
    </row>
    <row r="109" spans="3:7" s="203" customFormat="1" ht="15.75" customHeight="1">
      <c r="C109" s="1319"/>
      <c r="D109" s="1320"/>
      <c r="E109" s="1504"/>
      <c r="F109" s="1504"/>
      <c r="G109" s="258"/>
    </row>
    <row r="110" spans="3:9" s="203" customFormat="1" ht="15.75" customHeight="1">
      <c r="C110" s="1319"/>
      <c r="D110" s="1320"/>
      <c r="E110" s="1504"/>
      <c r="F110" s="1504"/>
      <c r="G110" s="1504"/>
      <c r="H110" s="1504"/>
      <c r="I110" s="1504"/>
    </row>
    <row r="111" spans="3:7" s="203" customFormat="1" ht="15.75" customHeight="1">
      <c r="C111" s="1319"/>
      <c r="D111" s="1320"/>
      <c r="E111" s="1504"/>
      <c r="F111" s="1504"/>
      <c r="G111" s="258"/>
    </row>
    <row r="112" spans="3:8" s="203" customFormat="1" ht="20.25" customHeight="1">
      <c r="C112" s="1319"/>
      <c r="D112" s="1318"/>
      <c r="E112" s="1504"/>
      <c r="F112" s="1504"/>
      <c r="G112" s="1504"/>
      <c r="H112" s="1504"/>
    </row>
    <row r="113" spans="1:24" s="346" customFormat="1" ht="12.75">
      <c r="A113" s="257"/>
      <c r="B113" s="257"/>
      <c r="C113" s="257"/>
      <c r="D113" s="1321"/>
      <c r="E113" s="1322"/>
      <c r="F113" s="1322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03"/>
      <c r="R113" s="203"/>
      <c r="S113" s="257"/>
      <c r="T113" s="257"/>
      <c r="U113" s="257"/>
      <c r="V113" s="257"/>
      <c r="W113" s="257"/>
      <c r="X113" s="257"/>
    </row>
    <row r="114" spans="1:24" s="346" customFormat="1" ht="12.75">
      <c r="A114" s="257"/>
      <c r="B114" s="257"/>
      <c r="C114" s="257"/>
      <c r="D114" s="1323"/>
      <c r="E114" s="1324"/>
      <c r="F114" s="1324"/>
      <c r="G114" s="203"/>
      <c r="H114" s="257"/>
      <c r="I114" s="257"/>
      <c r="J114" s="257"/>
      <c r="K114" s="257"/>
      <c r="L114" s="257"/>
      <c r="M114" s="257"/>
      <c r="N114" s="257"/>
      <c r="O114" s="257"/>
      <c r="P114" s="257"/>
      <c r="Q114" s="203"/>
      <c r="R114" s="203"/>
      <c r="S114" s="257"/>
      <c r="T114" s="257"/>
      <c r="U114" s="257"/>
      <c r="V114" s="257"/>
      <c r="W114" s="257"/>
      <c r="X114" s="257"/>
    </row>
    <row r="115" spans="1:24" s="346" customFormat="1" ht="15" customHeight="1">
      <c r="A115" s="257"/>
      <c r="B115" s="257"/>
      <c r="C115" s="257"/>
      <c r="D115" s="1323"/>
      <c r="E115" s="1325"/>
      <c r="F115" s="1324"/>
      <c r="G115" s="203"/>
      <c r="H115" s="257"/>
      <c r="I115" s="257"/>
      <c r="J115" s="257"/>
      <c r="K115" s="257"/>
      <c r="L115" s="257"/>
      <c r="M115" s="257"/>
      <c r="N115" s="257"/>
      <c r="O115" s="257"/>
      <c r="P115" s="257"/>
      <c r="Q115" s="203"/>
      <c r="R115" s="203"/>
      <c r="S115" s="257"/>
      <c r="T115" s="257"/>
      <c r="U115" s="257"/>
      <c r="V115" s="257"/>
      <c r="W115" s="257"/>
      <c r="X115" s="257"/>
    </row>
    <row r="116" spans="1:24" s="346" customFormat="1" ht="12.75">
      <c r="A116" s="257"/>
      <c r="B116" s="257"/>
      <c r="C116" s="257"/>
      <c r="D116" s="1323"/>
      <c r="E116" s="1325"/>
      <c r="F116" s="1324"/>
      <c r="G116" s="203"/>
      <c r="H116" s="257"/>
      <c r="I116" s="257"/>
      <c r="J116" s="257"/>
      <c r="K116" s="257"/>
      <c r="L116" s="257"/>
      <c r="M116" s="257"/>
      <c r="N116" s="257"/>
      <c r="O116" s="257"/>
      <c r="P116" s="257"/>
      <c r="Q116" s="203"/>
      <c r="R116" s="203"/>
      <c r="S116" s="257"/>
      <c r="T116" s="257"/>
      <c r="U116" s="257"/>
      <c r="V116" s="257"/>
      <c r="W116" s="257"/>
      <c r="X116" s="257"/>
    </row>
    <row r="117" spans="1:24" s="346" customFormat="1" ht="12.75">
      <c r="A117" s="257"/>
      <c r="B117" s="257"/>
      <c r="C117" s="257"/>
      <c r="D117" s="1323"/>
      <c r="E117" s="1325"/>
      <c r="F117" s="1324"/>
      <c r="G117" s="203"/>
      <c r="H117" s="257"/>
      <c r="I117" s="257"/>
      <c r="J117" s="257"/>
      <c r="K117" s="257"/>
      <c r="L117" s="257"/>
      <c r="M117" s="257"/>
      <c r="N117" s="257"/>
      <c r="O117" s="257"/>
      <c r="P117" s="257"/>
      <c r="Q117" s="203"/>
      <c r="R117" s="203"/>
      <c r="S117" s="257"/>
      <c r="T117" s="257"/>
      <c r="U117" s="257"/>
      <c r="V117" s="257"/>
      <c r="W117" s="257"/>
      <c r="X117" s="257"/>
    </row>
    <row r="118" spans="1:24" s="346" customFormat="1" ht="12.75">
      <c r="A118" s="257"/>
      <c r="B118" s="257"/>
      <c r="C118" s="257"/>
      <c r="D118" s="1323"/>
      <c r="E118" s="1326"/>
      <c r="F118" s="1324"/>
      <c r="G118" s="203"/>
      <c r="H118" s="257"/>
      <c r="I118" s="257"/>
      <c r="J118" s="257"/>
      <c r="K118" s="257"/>
      <c r="L118" s="257"/>
      <c r="M118" s="257"/>
      <c r="N118" s="257"/>
      <c r="O118" s="257"/>
      <c r="P118" s="257"/>
      <c r="Q118" s="203"/>
      <c r="R118" s="203"/>
      <c r="S118" s="257"/>
      <c r="T118" s="257"/>
      <c r="U118" s="257"/>
      <c r="V118" s="257"/>
      <c r="W118" s="257"/>
      <c r="X118" s="257"/>
    </row>
    <row r="119" spans="1:24" s="346" customFormat="1" ht="12.75">
      <c r="A119" s="257"/>
      <c r="B119" s="257"/>
      <c r="C119" s="257"/>
      <c r="D119" s="1321"/>
      <c r="E119" s="345"/>
      <c r="F119" s="345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03"/>
      <c r="R119" s="203"/>
      <c r="S119" s="257"/>
      <c r="T119" s="257"/>
      <c r="U119" s="257"/>
      <c r="V119" s="257"/>
      <c r="W119" s="257"/>
      <c r="X119" s="257"/>
    </row>
    <row r="120" spans="1:24" s="346" customFormat="1" ht="12.75">
      <c r="A120" s="257"/>
      <c r="B120" s="257"/>
      <c r="C120" s="203"/>
      <c r="D120" s="1321"/>
      <c r="E120" s="1321"/>
      <c r="F120" s="345"/>
      <c r="G120" s="257"/>
      <c r="H120" s="1327"/>
      <c r="I120" s="1328"/>
      <c r="J120" s="345"/>
      <c r="K120" s="1329"/>
      <c r="L120" s="257"/>
      <c r="M120" s="257"/>
      <c r="N120" s="257"/>
      <c r="O120" s="257"/>
      <c r="P120" s="257"/>
      <c r="Q120" s="203"/>
      <c r="R120" s="203"/>
      <c r="S120" s="257"/>
      <c r="T120" s="257"/>
      <c r="U120" s="257"/>
      <c r="V120" s="257"/>
      <c r="W120" s="257"/>
      <c r="X120" s="257"/>
    </row>
    <row r="121" spans="1:24" s="346" customFormat="1" ht="12.75">
      <c r="A121" s="257"/>
      <c r="B121" s="257"/>
      <c r="C121" s="257"/>
      <c r="D121" s="262"/>
      <c r="E121" s="262"/>
      <c r="F121" s="262"/>
      <c r="G121" s="302"/>
      <c r="H121" s="203"/>
      <c r="I121" s="1330"/>
      <c r="J121" s="1331"/>
      <c r="K121" s="257"/>
      <c r="L121" s="257"/>
      <c r="M121" s="257"/>
      <c r="N121" s="257"/>
      <c r="O121" s="257"/>
      <c r="P121" s="257"/>
      <c r="Q121" s="203"/>
      <c r="R121" s="203"/>
      <c r="S121" s="257"/>
      <c r="T121" s="257"/>
      <c r="U121" s="257"/>
      <c r="V121" s="257"/>
      <c r="W121" s="257"/>
      <c r="X121" s="257"/>
    </row>
    <row r="122" spans="1:24" s="346" customFormat="1" ht="12.75">
      <c r="A122" s="257"/>
      <c r="B122" s="257"/>
      <c r="C122" s="257"/>
      <c r="D122" s="262"/>
      <c r="E122" s="262"/>
      <c r="F122" s="262"/>
      <c r="G122" s="259"/>
      <c r="H122" s="203"/>
      <c r="I122" s="1330"/>
      <c r="J122" s="1331"/>
      <c r="K122" s="257"/>
      <c r="L122" s="257"/>
      <c r="M122" s="257"/>
      <c r="N122" s="257"/>
      <c r="O122" s="257"/>
      <c r="P122" s="257"/>
      <c r="Q122" s="203"/>
      <c r="R122" s="203"/>
      <c r="S122" s="257"/>
      <c r="T122" s="257"/>
      <c r="U122" s="257"/>
      <c r="V122" s="257"/>
      <c r="W122" s="257"/>
      <c r="X122" s="257"/>
    </row>
    <row r="123" spans="1:24" s="346" customFormat="1" ht="12.75">
      <c r="A123" s="257"/>
      <c r="B123" s="257"/>
      <c r="C123" s="257"/>
      <c r="D123" s="259"/>
      <c r="E123" s="262"/>
      <c r="F123" s="262"/>
      <c r="G123" s="259"/>
      <c r="H123" s="257"/>
      <c r="I123" s="1330"/>
      <c r="J123" s="1332"/>
      <c r="K123" s="257"/>
      <c r="L123" s="257"/>
      <c r="M123" s="257"/>
      <c r="N123" s="257"/>
      <c r="O123" s="257"/>
      <c r="P123" s="257"/>
      <c r="Q123" s="203"/>
      <c r="R123" s="203"/>
      <c r="S123" s="257"/>
      <c r="T123" s="257"/>
      <c r="U123" s="257"/>
      <c r="V123" s="257"/>
      <c r="W123" s="257"/>
      <c r="X123" s="257"/>
    </row>
    <row r="124" spans="1:24" s="346" customFormat="1" ht="12.75">
      <c r="A124" s="257"/>
      <c r="B124" s="257"/>
      <c r="C124" s="257"/>
      <c r="D124" s="262"/>
      <c r="E124" s="262"/>
      <c r="F124" s="262"/>
      <c r="G124" s="259"/>
      <c r="H124" s="257"/>
      <c r="I124" s="1330"/>
      <c r="J124" s="1332"/>
      <c r="K124" s="257"/>
      <c r="L124" s="257"/>
      <c r="M124" s="257"/>
      <c r="N124" s="257"/>
      <c r="O124" s="257"/>
      <c r="P124" s="257"/>
      <c r="Q124" s="203"/>
      <c r="R124" s="203"/>
      <c r="S124" s="257"/>
      <c r="T124" s="257"/>
      <c r="U124" s="257"/>
      <c r="V124" s="257"/>
      <c r="W124" s="257"/>
      <c r="X124" s="257"/>
    </row>
    <row r="125" spans="1:24" s="346" customFormat="1" ht="12.75">
      <c r="A125" s="257"/>
      <c r="B125" s="257"/>
      <c r="C125" s="257"/>
      <c r="D125" s="259"/>
      <c r="E125" s="259"/>
      <c r="F125" s="259"/>
      <c r="G125" s="302"/>
      <c r="H125" s="203"/>
      <c r="I125" s="1330"/>
      <c r="J125" s="1331"/>
      <c r="K125" s="257"/>
      <c r="L125" s="257"/>
      <c r="M125" s="257"/>
      <c r="N125" s="257"/>
      <c r="O125" s="257"/>
      <c r="P125" s="257"/>
      <c r="Q125" s="203"/>
      <c r="R125" s="203"/>
      <c r="S125" s="257"/>
      <c r="T125" s="257"/>
      <c r="U125" s="257"/>
      <c r="V125" s="257"/>
      <c r="W125" s="257"/>
      <c r="X125" s="257"/>
    </row>
    <row r="126" spans="1:24" s="346" customFormat="1" ht="12.75">
      <c r="A126" s="257"/>
      <c r="B126" s="257"/>
      <c r="C126" s="257"/>
      <c r="D126" s="259"/>
      <c r="E126" s="259"/>
      <c r="F126" s="259"/>
      <c r="G126" s="259"/>
      <c r="H126" s="257"/>
      <c r="I126" s="1330"/>
      <c r="J126" s="1332"/>
      <c r="K126" s="257"/>
      <c r="L126" s="257"/>
      <c r="M126" s="257"/>
      <c r="N126" s="257"/>
      <c r="O126" s="257"/>
      <c r="P126" s="257"/>
      <c r="Q126" s="203"/>
      <c r="R126" s="203"/>
      <c r="S126" s="257"/>
      <c r="T126" s="257"/>
      <c r="U126" s="257"/>
      <c r="V126" s="257"/>
      <c r="W126" s="257"/>
      <c r="X126" s="257"/>
    </row>
    <row r="127" spans="1:24" s="346" customFormat="1" ht="12.75">
      <c r="A127" s="257"/>
      <c r="B127" s="257"/>
      <c r="C127" s="257"/>
      <c r="D127" s="259"/>
      <c r="E127" s="259"/>
      <c r="F127" s="259"/>
      <c r="G127" s="259"/>
      <c r="H127" s="257"/>
      <c r="I127" s="1330"/>
      <c r="J127" s="1332"/>
      <c r="K127" s="257"/>
      <c r="L127" s="257"/>
      <c r="M127" s="257"/>
      <c r="N127" s="257"/>
      <c r="O127" s="257"/>
      <c r="P127" s="257"/>
      <c r="Q127" s="203"/>
      <c r="R127" s="203"/>
      <c r="S127" s="257"/>
      <c r="T127" s="257"/>
      <c r="U127" s="257"/>
      <c r="V127" s="257"/>
      <c r="W127" s="257"/>
      <c r="X127" s="257"/>
    </row>
    <row r="128" spans="1:24" s="346" customFormat="1" ht="12.75">
      <c r="A128" s="257"/>
      <c r="B128" s="257"/>
      <c r="C128" s="257"/>
      <c r="D128" s="271"/>
      <c r="E128" s="271"/>
      <c r="F128" s="271"/>
      <c r="G128" s="271"/>
      <c r="H128" s="257"/>
      <c r="I128" s="1330"/>
      <c r="J128" s="1332"/>
      <c r="K128" s="257"/>
      <c r="L128" s="257"/>
      <c r="M128" s="257"/>
      <c r="N128" s="257"/>
      <c r="O128" s="257"/>
      <c r="P128" s="257"/>
      <c r="Q128" s="203"/>
      <c r="R128" s="203"/>
      <c r="S128" s="257"/>
      <c r="T128" s="257"/>
      <c r="U128" s="257"/>
      <c r="V128" s="257"/>
      <c r="W128" s="257"/>
      <c r="X128" s="257"/>
    </row>
    <row r="129" spans="1:24" s="346" customFormat="1" ht="12.75">
      <c r="A129" s="257"/>
      <c r="B129" s="257"/>
      <c r="C129" s="257"/>
      <c r="D129" s="271"/>
      <c r="E129" s="271"/>
      <c r="F129" s="271"/>
      <c r="G129" s="302"/>
      <c r="H129" s="203"/>
      <c r="I129" s="1330"/>
      <c r="J129" s="1331"/>
      <c r="K129" s="257"/>
      <c r="L129" s="257"/>
      <c r="M129" s="257"/>
      <c r="N129" s="257"/>
      <c r="O129" s="257"/>
      <c r="P129" s="257"/>
      <c r="Q129" s="203"/>
      <c r="R129" s="203"/>
      <c r="S129" s="257"/>
      <c r="T129" s="257"/>
      <c r="U129" s="257"/>
      <c r="V129" s="257"/>
      <c r="W129" s="257"/>
      <c r="X129" s="257"/>
    </row>
    <row r="130" spans="1:24" s="346" customFormat="1" ht="12.75">
      <c r="A130" s="257"/>
      <c r="B130" s="257"/>
      <c r="C130" s="257"/>
      <c r="D130" s="271"/>
      <c r="E130" s="271"/>
      <c r="F130" s="271"/>
      <c r="G130" s="271"/>
      <c r="H130" s="257"/>
      <c r="I130" s="1330"/>
      <c r="J130" s="1332"/>
      <c r="K130" s="257"/>
      <c r="L130" s="257"/>
      <c r="M130" s="257"/>
      <c r="N130" s="257"/>
      <c r="O130" s="257"/>
      <c r="P130" s="257"/>
      <c r="Q130" s="203"/>
      <c r="R130" s="203"/>
      <c r="S130" s="257"/>
      <c r="T130" s="257"/>
      <c r="U130" s="257"/>
      <c r="V130" s="257"/>
      <c r="W130" s="257"/>
      <c r="X130" s="257"/>
    </row>
    <row r="131" spans="1:24" s="346" customFormat="1" ht="12.75">
      <c r="A131" s="257"/>
      <c r="B131" s="257"/>
      <c r="C131" s="257"/>
      <c r="D131" s="271"/>
      <c r="E131" s="271"/>
      <c r="F131" s="271"/>
      <c r="G131" s="271"/>
      <c r="H131" s="257"/>
      <c r="I131" s="1330"/>
      <c r="J131" s="1332"/>
      <c r="K131" s="257"/>
      <c r="L131" s="257"/>
      <c r="M131" s="257"/>
      <c r="N131" s="257"/>
      <c r="O131" s="257"/>
      <c r="P131" s="257"/>
      <c r="Q131" s="203"/>
      <c r="R131" s="203"/>
      <c r="S131" s="257"/>
      <c r="T131" s="257"/>
      <c r="U131" s="257"/>
      <c r="V131" s="257"/>
      <c r="W131" s="257"/>
      <c r="X131" s="257"/>
    </row>
    <row r="132" spans="1:24" s="346" customFormat="1" ht="12.75">
      <c r="A132" s="257"/>
      <c r="B132" s="257"/>
      <c r="C132" s="257"/>
      <c r="D132" s="1321"/>
      <c r="E132" s="345"/>
      <c r="F132" s="345"/>
      <c r="G132" s="257"/>
      <c r="H132" s="257"/>
      <c r="I132" s="1330"/>
      <c r="J132" s="1332"/>
      <c r="K132" s="257"/>
      <c r="L132" s="257"/>
      <c r="M132" s="257"/>
      <c r="N132" s="257"/>
      <c r="O132" s="257"/>
      <c r="P132" s="257"/>
      <c r="Q132" s="203"/>
      <c r="R132" s="203"/>
      <c r="S132" s="257"/>
      <c r="T132" s="257"/>
      <c r="U132" s="257"/>
      <c r="V132" s="257"/>
      <c r="W132" s="257"/>
      <c r="X132" s="257"/>
    </row>
    <row r="133" spans="1:24" s="346" customFormat="1" ht="12.75">
      <c r="A133" s="257"/>
      <c r="B133" s="257"/>
      <c r="C133" s="257"/>
      <c r="D133" s="1321"/>
      <c r="E133" s="1333"/>
      <c r="F133" s="1334"/>
      <c r="G133" s="302"/>
      <c r="H133" s="1334"/>
      <c r="I133" s="1330"/>
      <c r="J133" s="1331"/>
      <c r="K133" s="257"/>
      <c r="L133" s="257"/>
      <c r="M133" s="257"/>
      <c r="N133" s="257"/>
      <c r="O133" s="257"/>
      <c r="P133" s="257"/>
      <c r="Q133" s="203"/>
      <c r="R133" s="203"/>
      <c r="S133" s="257"/>
      <c r="T133" s="257"/>
      <c r="U133" s="257"/>
      <c r="V133" s="257"/>
      <c r="W133" s="257"/>
      <c r="X133" s="257"/>
    </row>
    <row r="134" spans="1:24" s="346" customFormat="1" ht="12.75">
      <c r="A134" s="257"/>
      <c r="B134" s="257"/>
      <c r="C134" s="257"/>
      <c r="D134" s="1321"/>
      <c r="E134" s="1333"/>
      <c r="F134" s="1334"/>
      <c r="G134" s="302"/>
      <c r="H134" s="1334"/>
      <c r="I134" s="1330"/>
      <c r="J134" s="1331"/>
      <c r="K134" s="257"/>
      <c r="L134" s="257"/>
      <c r="M134" s="257"/>
      <c r="N134" s="257"/>
      <c r="O134" s="257"/>
      <c r="P134" s="257"/>
      <c r="Q134" s="203"/>
      <c r="R134" s="203"/>
      <c r="S134" s="257"/>
      <c r="T134" s="257"/>
      <c r="U134" s="257"/>
      <c r="V134" s="257"/>
      <c r="W134" s="257"/>
      <c r="X134" s="257"/>
    </row>
    <row r="135" spans="1:24" s="346" customFormat="1" ht="12.75">
      <c r="A135" s="257"/>
      <c r="B135" s="257"/>
      <c r="C135" s="257"/>
      <c r="D135" s="1321"/>
      <c r="E135" s="1333"/>
      <c r="F135" s="1333"/>
      <c r="G135" s="259"/>
      <c r="H135" s="257"/>
      <c r="I135" s="257"/>
      <c r="J135" s="257"/>
      <c r="K135" s="257"/>
      <c r="L135" s="257"/>
      <c r="M135" s="257"/>
      <c r="N135" s="257"/>
      <c r="O135" s="257"/>
      <c r="P135" s="257"/>
      <c r="Q135" s="203"/>
      <c r="R135" s="203"/>
      <c r="S135" s="257"/>
      <c r="T135" s="257"/>
      <c r="U135" s="257"/>
      <c r="V135" s="257"/>
      <c r="W135" s="257"/>
      <c r="X135" s="257"/>
    </row>
    <row r="136" spans="1:24" s="346" customFormat="1" ht="12.75">
      <c r="A136" s="257"/>
      <c r="B136" s="257"/>
      <c r="C136" s="257"/>
      <c r="D136" s="1321"/>
      <c r="E136" s="1333"/>
      <c r="F136" s="1333"/>
      <c r="G136" s="259"/>
      <c r="H136" s="257"/>
      <c r="I136" s="257"/>
      <c r="J136" s="257"/>
      <c r="K136" s="257"/>
      <c r="L136" s="257"/>
      <c r="M136" s="257"/>
      <c r="N136" s="257"/>
      <c r="O136" s="257"/>
      <c r="P136" s="257"/>
      <c r="Q136" s="203"/>
      <c r="R136" s="203"/>
      <c r="S136" s="257"/>
      <c r="T136" s="257"/>
      <c r="U136" s="257"/>
      <c r="V136" s="257"/>
      <c r="W136" s="257"/>
      <c r="X136" s="257"/>
    </row>
    <row r="137" spans="1:24" s="346" customFormat="1" ht="12.75">
      <c r="A137" s="257"/>
      <c r="B137" s="257"/>
      <c r="C137" s="257"/>
      <c r="D137" s="1321"/>
      <c r="E137" s="345"/>
      <c r="F137" s="345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03"/>
      <c r="R137" s="203"/>
      <c r="S137" s="257"/>
      <c r="T137" s="257"/>
      <c r="U137" s="257"/>
      <c r="V137" s="257"/>
      <c r="W137" s="257"/>
      <c r="X137" s="257"/>
    </row>
    <row r="138" spans="1:24" s="346" customFormat="1" ht="12.75">
      <c r="A138" s="257"/>
      <c r="B138" s="257"/>
      <c r="C138" s="257"/>
      <c r="D138" s="1321"/>
      <c r="E138" s="345"/>
      <c r="F138" s="345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03"/>
      <c r="R138" s="203"/>
      <c r="S138" s="257"/>
      <c r="T138" s="257"/>
      <c r="U138" s="257"/>
      <c r="V138" s="257"/>
      <c r="W138" s="257"/>
      <c r="X138" s="257"/>
    </row>
    <row r="139" spans="1:24" s="346" customFormat="1" ht="12.75">
      <c r="A139" s="257"/>
      <c r="B139" s="257"/>
      <c r="C139" s="344"/>
      <c r="D139" s="203"/>
      <c r="E139" s="345"/>
      <c r="F139" s="345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03"/>
      <c r="R139" s="203"/>
      <c r="S139" s="257"/>
      <c r="T139" s="257"/>
      <c r="U139" s="257"/>
      <c r="V139" s="257"/>
      <c r="W139" s="257"/>
      <c r="X139" s="257"/>
    </row>
    <row r="140" spans="1:24" s="346" customFormat="1" ht="12.75">
      <c r="A140" s="257"/>
      <c r="B140" s="257"/>
      <c r="C140" s="344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03"/>
      <c r="R140" s="203"/>
      <c r="S140" s="257"/>
      <c r="T140" s="257"/>
      <c r="U140" s="257"/>
      <c r="V140" s="257"/>
      <c r="W140" s="257"/>
      <c r="X140" s="257"/>
    </row>
    <row r="141" spans="1:24" s="348" customFormat="1" ht="12.75">
      <c r="A141" s="259"/>
      <c r="B141" s="259"/>
      <c r="C141" s="259"/>
      <c r="D141" s="347"/>
      <c r="E141" s="259"/>
      <c r="F141" s="259"/>
      <c r="G141" s="259"/>
      <c r="H141" s="261"/>
      <c r="I141" s="261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</row>
    <row r="142" spans="1:24" s="348" customFormat="1" ht="12.75">
      <c r="A142" s="259"/>
      <c r="B142" s="259"/>
      <c r="C142" s="259"/>
      <c r="D142" s="259"/>
      <c r="E142" s="259"/>
      <c r="F142" s="259"/>
      <c r="G142" s="259"/>
      <c r="H142" s="261"/>
      <c r="I142" s="261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</row>
    <row r="143" spans="1:24" s="262" customFormat="1" ht="11.25">
      <c r="A143" s="259"/>
      <c r="B143" s="260"/>
      <c r="C143" s="259"/>
      <c r="D143" s="259"/>
      <c r="E143" s="259"/>
      <c r="F143" s="259"/>
      <c r="G143" s="259"/>
      <c r="H143" s="261"/>
      <c r="I143" s="261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</row>
    <row r="144" spans="1:24" s="262" customFormat="1" ht="11.25">
      <c r="A144" s="263"/>
      <c r="B144" s="264"/>
      <c r="C144" s="265"/>
      <c r="D144" s="259"/>
      <c r="E144" s="259"/>
      <c r="F144" s="259"/>
      <c r="G144" s="259"/>
      <c r="H144" s="261"/>
      <c r="I144" s="261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</row>
    <row r="145" spans="1:24" s="262" customFormat="1" ht="11.25">
      <c r="A145" s="263"/>
      <c r="B145" s="265"/>
      <c r="C145" s="259"/>
      <c r="D145" s="259"/>
      <c r="E145" s="259"/>
      <c r="F145" s="259"/>
      <c r="G145" s="259"/>
      <c r="H145" s="261"/>
      <c r="I145" s="261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</row>
    <row r="146" spans="1:24" s="262" customFormat="1" ht="11.25">
      <c r="A146" s="263"/>
      <c r="B146" s="265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</row>
    <row r="147" spans="1:24" s="262" customFormat="1" ht="11.25">
      <c r="A147" s="263"/>
      <c r="B147" s="265"/>
      <c r="C147" s="259"/>
      <c r="D147" s="301"/>
      <c r="E147" s="301"/>
      <c r="F147" s="301"/>
      <c r="G147" s="259"/>
      <c r="H147" s="259"/>
      <c r="I147" s="259"/>
      <c r="J147" s="259"/>
      <c r="K147" s="259"/>
      <c r="L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</row>
    <row r="148" spans="1:18" s="262" customFormat="1" ht="11.25">
      <c r="A148" s="266"/>
      <c r="B148" s="267"/>
      <c r="G148" s="268"/>
      <c r="H148" s="268"/>
      <c r="I148" s="268"/>
      <c r="Q148" s="259"/>
      <c r="R148" s="259"/>
    </row>
    <row r="149" spans="1:18" s="262" customFormat="1" ht="11.25">
      <c r="A149" s="266"/>
      <c r="B149" s="267"/>
      <c r="G149" s="261"/>
      <c r="H149" s="261"/>
      <c r="I149" s="261"/>
      <c r="Q149" s="259"/>
      <c r="R149" s="259"/>
    </row>
    <row r="150" spans="8:18" s="262" customFormat="1" ht="11.25">
      <c r="H150" s="261"/>
      <c r="I150" s="261"/>
      <c r="J150" s="261"/>
      <c r="K150" s="302"/>
      <c r="M150" s="261"/>
      <c r="Q150" s="259"/>
      <c r="R150" s="259"/>
    </row>
    <row r="151" spans="3:18" s="262" customFormat="1" ht="11.25">
      <c r="C151" s="267"/>
      <c r="K151" s="302"/>
      <c r="M151" s="261"/>
      <c r="Q151" s="259"/>
      <c r="R151" s="259"/>
    </row>
    <row r="152" spans="11:18" s="262" customFormat="1" ht="11.25">
      <c r="K152" s="302"/>
      <c r="M152" s="261"/>
      <c r="Q152" s="259"/>
      <c r="R152" s="259"/>
    </row>
    <row r="153" spans="3:13" s="259" customFormat="1" ht="11.25">
      <c r="C153" s="265"/>
      <c r="G153" s="261"/>
      <c r="H153" s="261"/>
      <c r="I153" s="261"/>
      <c r="K153" s="302"/>
      <c r="M153" s="261"/>
    </row>
    <row r="154" spans="3:14" s="259" customFormat="1" ht="11.25">
      <c r="C154" s="265"/>
      <c r="H154" s="269"/>
      <c r="I154" s="269"/>
      <c r="J154" s="270"/>
      <c r="K154" s="270"/>
      <c r="L154" s="265"/>
      <c r="M154" s="261"/>
      <c r="N154" s="265"/>
    </row>
    <row r="155" spans="3:14" s="259" customFormat="1" ht="11.25">
      <c r="C155" s="265"/>
      <c r="H155" s="267"/>
      <c r="I155" s="267"/>
      <c r="J155" s="265"/>
      <c r="K155" s="270"/>
      <c r="L155" s="265"/>
      <c r="M155" s="261"/>
      <c r="N155" s="265"/>
    </row>
    <row r="156" spans="3:18" s="271" customFormat="1" ht="11.25">
      <c r="C156" s="272"/>
      <c r="H156" s="273"/>
      <c r="I156" s="273"/>
      <c r="J156" s="272"/>
      <c r="K156" s="277"/>
      <c r="L156" s="272"/>
      <c r="M156" s="274"/>
      <c r="N156" s="272"/>
      <c r="Q156" s="259"/>
      <c r="R156" s="259"/>
    </row>
    <row r="157" spans="3:18" s="271" customFormat="1" ht="11.25">
      <c r="C157" s="272"/>
      <c r="G157" s="261"/>
      <c r="H157" s="274"/>
      <c r="I157" s="274"/>
      <c r="K157" s="303"/>
      <c r="M157" s="274"/>
      <c r="Q157" s="259"/>
      <c r="R157" s="259"/>
    </row>
    <row r="158" spans="3:18" s="271" customFormat="1" ht="11.25">
      <c r="C158" s="275"/>
      <c r="H158" s="276"/>
      <c r="I158" s="276"/>
      <c r="J158" s="277"/>
      <c r="K158" s="277"/>
      <c r="L158" s="272"/>
      <c r="M158" s="261"/>
      <c r="N158" s="272"/>
      <c r="Q158" s="259"/>
      <c r="R158" s="259"/>
    </row>
    <row r="159" spans="3:18" s="271" customFormat="1" ht="11.25">
      <c r="C159" s="272"/>
      <c r="H159" s="272"/>
      <c r="I159" s="272"/>
      <c r="J159" s="272"/>
      <c r="K159" s="277"/>
      <c r="L159" s="272"/>
      <c r="M159" s="274"/>
      <c r="N159" s="272"/>
      <c r="Q159" s="259"/>
      <c r="R159" s="259"/>
    </row>
    <row r="160" spans="3:18" s="278" customFormat="1" ht="12.75">
      <c r="C160" s="279"/>
      <c r="D160" s="280"/>
      <c r="E160" s="280"/>
      <c r="F160" s="280"/>
      <c r="G160" s="280"/>
      <c r="H160" s="280"/>
      <c r="I160" s="277"/>
      <c r="J160" s="280"/>
      <c r="K160" s="277"/>
      <c r="L160" s="280"/>
      <c r="M160" s="281"/>
      <c r="N160" s="280"/>
      <c r="Q160" s="259"/>
      <c r="R160" s="259"/>
    </row>
    <row r="161" spans="3:18" s="271" customFormat="1" ht="11.25">
      <c r="C161" s="282"/>
      <c r="Q161" s="259"/>
      <c r="R161" s="259"/>
    </row>
    <row r="162" spans="3:18" s="23" customFormat="1" ht="11.25">
      <c r="C162" s="36"/>
      <c r="I162" s="304"/>
      <c r="J162" s="306"/>
      <c r="K162" s="304"/>
      <c r="L162" s="258"/>
      <c r="M162" s="258"/>
      <c r="Q162" s="203"/>
      <c r="R162" s="203"/>
    </row>
    <row r="163" spans="4:18" s="23" customFormat="1" ht="11.25">
      <c r="D163" s="8"/>
      <c r="E163" s="107"/>
      <c r="F163" s="107"/>
      <c r="G163" s="107"/>
      <c r="H163" s="107"/>
      <c r="I163" s="305"/>
      <c r="J163" s="305"/>
      <c r="K163" s="305"/>
      <c r="L163" s="107"/>
      <c r="M163" s="107"/>
      <c r="N163" s="107"/>
      <c r="Q163" s="203"/>
      <c r="R163" s="203"/>
    </row>
    <row r="164" spans="4:18" s="23" customFormat="1" ht="11.25">
      <c r="D164" s="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Q164" s="203"/>
      <c r="R164" s="203"/>
    </row>
    <row r="165" spans="4:18" s="23" customFormat="1" ht="11.25">
      <c r="D165" s="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Q165" s="203"/>
      <c r="R165" s="203"/>
    </row>
    <row r="166" spans="4:18" s="23" customFormat="1" ht="5.25" customHeight="1">
      <c r="D166" s="8"/>
      <c r="Q166" s="203"/>
      <c r="R166" s="203"/>
    </row>
    <row r="167" spans="4:18" s="23" customFormat="1" ht="15" customHeight="1">
      <c r="D167" s="3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Q167" s="203"/>
      <c r="R167" s="203"/>
    </row>
    <row r="168" spans="4:18" s="23" customFormat="1" ht="11.25">
      <c r="D168" s="36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Q168" s="203"/>
      <c r="R168" s="203"/>
    </row>
    <row r="169" spans="5:18" s="23" customFormat="1" ht="11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Q169" s="203"/>
      <c r="R169" s="203"/>
    </row>
    <row r="170" spans="17:18" s="23" customFormat="1" ht="4.5" customHeight="1">
      <c r="Q170" s="203"/>
      <c r="R170" s="203"/>
    </row>
    <row r="171" spans="5:18" s="23" customFormat="1" ht="11.25"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Q171" s="203"/>
      <c r="R171" s="203"/>
    </row>
    <row r="172" spans="5:18" s="23" customFormat="1" ht="11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Q172" s="203"/>
      <c r="R172" s="203"/>
    </row>
    <row r="173" spans="4:18" s="23" customFormat="1" ht="11.25">
      <c r="D173" s="36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Q173" s="203"/>
      <c r="R173" s="203"/>
    </row>
    <row r="174" spans="17:18" s="108" customFormat="1" ht="12.75">
      <c r="Q174" s="203"/>
      <c r="R174" s="203"/>
    </row>
    <row r="175" spans="17:18" s="108" customFormat="1" ht="12.75">
      <c r="Q175" s="203"/>
      <c r="R175" s="203"/>
    </row>
  </sheetData>
  <sheetProtection/>
  <mergeCells count="22">
    <mergeCell ref="A92:A93"/>
    <mergeCell ref="B92:B93"/>
    <mergeCell ref="C92:C93"/>
    <mergeCell ref="D92:D93"/>
    <mergeCell ref="B81:C81"/>
    <mergeCell ref="B82:C82"/>
    <mergeCell ref="E111:F111"/>
    <mergeCell ref="B80:C80"/>
    <mergeCell ref="D4:D5"/>
    <mergeCell ref="E110:I110"/>
    <mergeCell ref="B48:B50"/>
    <mergeCell ref="E112:H112"/>
    <mergeCell ref="E109:F109"/>
    <mergeCell ref="B10:B12"/>
    <mergeCell ref="B69:B71"/>
    <mergeCell ref="B35:B37"/>
    <mergeCell ref="A2:D2"/>
    <mergeCell ref="A90:D90"/>
    <mergeCell ref="A4:A5"/>
    <mergeCell ref="B4:B5"/>
    <mergeCell ref="C4:C5"/>
    <mergeCell ref="B76:B78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Kovárová</dc:creator>
  <cp:keywords/>
  <dc:description/>
  <cp:lastModifiedBy>KOVÁROVÁ Katarína</cp:lastModifiedBy>
  <cp:lastPrinted>2023-11-22T09:33:58Z</cp:lastPrinted>
  <dcterms:created xsi:type="dcterms:W3CDTF">2012-10-11T06:39:36Z</dcterms:created>
  <dcterms:modified xsi:type="dcterms:W3CDTF">2023-11-28T07:16:42Z</dcterms:modified>
  <cp:category/>
  <cp:version/>
  <cp:contentType/>
  <cp:contentStatus/>
</cp:coreProperties>
</file>