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72" activeTab="0"/>
  </bookViews>
  <sheets>
    <sheet name="BP" sheetId="1" r:id="rId1"/>
    <sheet name="KP" sheetId="2" r:id="rId2"/>
    <sheet name="VP1" sheetId="3" r:id="rId3"/>
    <sheet name="VP2" sheetId="4" r:id="rId4"/>
    <sheet name="VP3" sheetId="5" r:id="rId5"/>
    <sheet name="VP4" sheetId="6" r:id="rId6"/>
    <sheet name="VP5" sheetId="7" r:id="rId7"/>
    <sheet name="VP6" sheetId="8" r:id="rId8"/>
    <sheet name="VP7" sheetId="9" r:id="rId9"/>
    <sheet name="VP8" sheetId="10" r:id="rId10"/>
    <sheet name="VP9" sheetId="11" r:id="rId11"/>
    <sheet name="VP10" sheetId="12" r:id="rId12"/>
    <sheet name="VP11" sheetId="13" r:id="rId13"/>
    <sheet name="SUM" sheetId="14" r:id="rId14"/>
  </sheets>
  <definedNames/>
  <calcPr fullCalcOnLoad="1"/>
</workbook>
</file>

<file path=xl/sharedStrings.xml><?xml version="1.0" encoding="utf-8"?>
<sst xmlns="http://schemas.openxmlformats.org/spreadsheetml/2006/main" count="1567" uniqueCount="656">
  <si>
    <t>Ochrana prírody a krajiny</t>
  </si>
  <si>
    <t>Finančná a rozpočtová oblasť</t>
  </si>
  <si>
    <t>Transakcie verejného dlhu</t>
  </si>
  <si>
    <t>Nakladanie s odpadmi</t>
  </si>
  <si>
    <t>Výsledok hospodárenia</t>
  </si>
  <si>
    <t>ukazovateľ</t>
  </si>
  <si>
    <t>2</t>
  </si>
  <si>
    <t>4</t>
  </si>
  <si>
    <t>5</t>
  </si>
  <si>
    <t>funkčná</t>
  </si>
  <si>
    <t>Kapitálové výdavky</t>
  </si>
  <si>
    <t>Bežné výdavky</t>
  </si>
  <si>
    <t>Bežné príjmy</t>
  </si>
  <si>
    <t>Rozpočet</t>
  </si>
  <si>
    <t>kategória</t>
  </si>
  <si>
    <t>položka</t>
  </si>
  <si>
    <t>100</t>
  </si>
  <si>
    <t>DAŇOVÉ  PRÍJMY</t>
  </si>
  <si>
    <t>110</t>
  </si>
  <si>
    <t>Dane z príjmov a kapitálového majetku</t>
  </si>
  <si>
    <t>111</t>
  </si>
  <si>
    <t>003</t>
  </si>
  <si>
    <t>120</t>
  </si>
  <si>
    <t>Dane z majetku</t>
  </si>
  <si>
    <t>121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</si>
  <si>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</si>
  <si>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</si>
  <si>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</si>
  <si>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</si>
  <si>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</si>
  <si>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</si>
  <si>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012</t>
  </si>
  <si>
    <t>013</t>
  </si>
  <si>
    <t>200</t>
  </si>
  <si>
    <t>NEDAŇOVÉ  PRÍJMY</t>
  </si>
  <si>
    <t>210</t>
  </si>
  <si>
    <t>Príjmy z podnikania a z vlastníctva majetku</t>
  </si>
  <si>
    <t>212</t>
  </si>
  <si>
    <t>220</t>
  </si>
  <si>
    <t>Administratívne a iné poplatky a platby</t>
  </si>
  <si>
    <t>221</t>
  </si>
  <si>
    <t>004</t>
  </si>
  <si>
    <t>223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</si>
  <si>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</si>
  <si>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</si>
  <si>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</si>
  <si>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</si>
  <si>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</si>
  <si>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</si>
  <si>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</si>
  <si>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008</t>
  </si>
  <si>
    <t>Opatrovateľská služba</t>
  </si>
  <si>
    <t>Reprezentačné a dary</t>
  </si>
  <si>
    <t>Členské príspevky</t>
  </si>
  <si>
    <t>Elektrická energia</t>
  </si>
  <si>
    <t xml:space="preserve">Rozvoj obcí </t>
  </si>
  <si>
    <t>300</t>
  </si>
  <si>
    <t>GRANTY  A  TRANSFERY</t>
  </si>
  <si>
    <t>310</t>
  </si>
  <si>
    <t>Transfery v rámci verejnej správy</t>
  </si>
  <si>
    <t>Zo štátneho rozpočtu</t>
  </si>
  <si>
    <t>BEŽNÉ PRÍJMY SPOLU:</t>
  </si>
  <si>
    <t>Kapitálové príjmy</t>
  </si>
  <si>
    <t>230</t>
  </si>
  <si>
    <t>233</t>
  </si>
  <si>
    <t>KAPITÁLOVÉ PRÍJMY SPOLU:</t>
  </si>
  <si>
    <t>PRÍJMY</t>
  </si>
  <si>
    <t>PRÍJMY SPOLU:</t>
  </si>
  <si>
    <t>Bežné výdavky spolu:</t>
  </si>
  <si>
    <t>Kapitálové príjmy spolu:</t>
  </si>
  <si>
    <t xml:space="preserve">Kapitálové výdavky spolu: </t>
  </si>
  <si>
    <t>Príjmy*</t>
  </si>
  <si>
    <t>Výdavky*</t>
  </si>
  <si>
    <t xml:space="preserve">   z toho:</t>
  </si>
  <si>
    <t>klasifik.</t>
  </si>
  <si>
    <t>Autodoprava</t>
  </si>
  <si>
    <t>Ochrana pred požiarmi</t>
  </si>
  <si>
    <t>7</t>
  </si>
  <si>
    <t>Verejné osvetlenie</t>
  </si>
  <si>
    <t>Dávky sociálnej pomoci - pomoc občanom</t>
  </si>
  <si>
    <t>v hmotnej núdzi</t>
  </si>
  <si>
    <t>Členstvo v samosprávnych org.a združeniach</t>
  </si>
  <si>
    <t>Činnosť matriky</t>
  </si>
  <si>
    <t>Cintorínske a pohrebné služby</t>
  </si>
  <si>
    <t>Miestny rozhlas</t>
  </si>
  <si>
    <t>Nakladanie s odpadovými vodami</t>
  </si>
  <si>
    <t>Prevádzka a údržba budov</t>
  </si>
  <si>
    <t xml:space="preserve">Cestná doprava </t>
  </si>
  <si>
    <t>13</t>
  </si>
  <si>
    <t>Náboženské a iné spoločenské služby</t>
  </si>
  <si>
    <t>Výkon funkcie starostu</t>
  </si>
  <si>
    <t>Audit</t>
  </si>
  <si>
    <t>01.1.2</t>
  </si>
  <si>
    <t>Zasadnutia orgánov obce</t>
  </si>
  <si>
    <t>Majetok obce</t>
  </si>
  <si>
    <t>Vzdelávanie zamestnancov obce</t>
  </si>
  <si>
    <t>Obecný informačný systém</t>
  </si>
  <si>
    <t>PHM</t>
  </si>
  <si>
    <t>Materská škola</t>
  </si>
  <si>
    <t>Základná škola</t>
  </si>
  <si>
    <t>Základná škola a školské zariadenia</t>
  </si>
  <si>
    <t>všeobecné služby</t>
  </si>
  <si>
    <t>Podpora kultúrnych a športových podujatí</t>
  </si>
  <si>
    <t xml:space="preserve"> Ochrana životného prostredia</t>
  </si>
  <si>
    <t>Územné rozhodovanie a stavebný poriadok</t>
  </si>
  <si>
    <t>údržba strojov a zariadenia</t>
  </si>
  <si>
    <t>stravovanie dôchodcov</t>
  </si>
  <si>
    <t>posedenie dôchodcov</t>
  </si>
  <si>
    <t>Administratíva - správa obce</t>
  </si>
  <si>
    <t xml:space="preserve"> - recyklačný fond</t>
  </si>
  <si>
    <t>291</t>
  </si>
  <si>
    <t xml:space="preserve"> - administratívne poplatky</t>
  </si>
  <si>
    <t xml:space="preserve"> </t>
  </si>
  <si>
    <t>predaj pozemkov</t>
  </si>
  <si>
    <t>Cestovné náhrady - tuzemské</t>
  </si>
  <si>
    <t>PROGRAM 3:     Služby občanom</t>
  </si>
  <si>
    <t>PROGRAM 2:     Interné služby obce</t>
  </si>
  <si>
    <t>elektrická energia ČOV</t>
  </si>
  <si>
    <t>likvidácia kalu, kontrolné vzorky</t>
  </si>
  <si>
    <t>Vývoz septikov</t>
  </si>
  <si>
    <t>oprava a údržba traktora</t>
  </si>
  <si>
    <t>STK traktor</t>
  </si>
  <si>
    <t>PROGRAM 6:     Pozemné komunikácie</t>
  </si>
  <si>
    <t>PROGRAM 7:     Vzdelávanie</t>
  </si>
  <si>
    <t>Predškolské vzdelávanie</t>
  </si>
  <si>
    <t>poistné zo mzdy</t>
  </si>
  <si>
    <t>tovary a služby - prevádzka ŠKD</t>
  </si>
  <si>
    <t>PHM kosenie ihriska</t>
  </si>
  <si>
    <t>Kultúrna činnosť</t>
  </si>
  <si>
    <t>PROGRAM 9:     Prostredie pre život</t>
  </si>
  <si>
    <t>materiál na VO</t>
  </si>
  <si>
    <t>Deratizácia obce</t>
  </si>
  <si>
    <t>Stavebný úrad</t>
  </si>
  <si>
    <t>poistenie verejného priestranstva</t>
  </si>
  <si>
    <t>PROGRAM 10:     Sociálne služby</t>
  </si>
  <si>
    <t>Starostlivosť o dôchodcov</t>
  </si>
  <si>
    <t>geometrický plán</t>
  </si>
  <si>
    <t>posudky, expertízy</t>
  </si>
  <si>
    <t>platba dane</t>
  </si>
  <si>
    <t>PROGRAM 11:     Administratíva</t>
  </si>
  <si>
    <t>017</t>
  </si>
  <si>
    <t xml:space="preserve"> - MŠ predškoláci</t>
  </si>
  <si>
    <t>pracovný odev</t>
  </si>
  <si>
    <t>Špeciálny materiál-hadice</t>
  </si>
  <si>
    <t>Poistenie družstva</t>
  </si>
  <si>
    <t xml:space="preserve"> - opatrovateľská služba</t>
  </si>
  <si>
    <t>PROGRAM 1:   Plánovanie, manažment a kontrola</t>
  </si>
  <si>
    <t>Vzdelávanie zamestnancov OcÚ</t>
  </si>
  <si>
    <t>Karty, diaľničná známka</t>
  </si>
  <si>
    <t>Evidencia obyvateľstva - REGOB</t>
  </si>
  <si>
    <t>Zber, odvoz a zneškodnenie odpadu</t>
  </si>
  <si>
    <t>PROGRAM 5:   Odpadové hospodárstvo</t>
  </si>
  <si>
    <t>Voda</t>
  </si>
  <si>
    <t>Školský klub detí /ŠKD/</t>
  </si>
  <si>
    <t>Školská jedáleň /ŠJ/</t>
  </si>
  <si>
    <t>PRÍJEM</t>
  </si>
  <si>
    <t>134</t>
  </si>
  <si>
    <t>Rozvoj obce</t>
  </si>
  <si>
    <t>0.1.3.3</t>
  </si>
  <si>
    <t>Výnos dane z príjmov poukáz. územnej samospráve</t>
  </si>
  <si>
    <t xml:space="preserve">  - daň za psa</t>
  </si>
  <si>
    <t xml:space="preserve">  - daň za užívanie verejného priestranstva</t>
  </si>
  <si>
    <t xml:space="preserve">  - z úhrad za dobývací priestor</t>
  </si>
  <si>
    <t>Daň z nehnuteľností</t>
  </si>
  <si>
    <t>Príjmy z vlastníctva</t>
  </si>
  <si>
    <t xml:space="preserve"> - z prenájmu riadu,kontajnerov,nádob na odpad</t>
  </si>
  <si>
    <t xml:space="preserve">  - administratívne poplatky - ostatné</t>
  </si>
  <si>
    <t>Propagácia obce</t>
  </si>
  <si>
    <t>Budova obecného úradu</t>
  </si>
  <si>
    <t xml:space="preserve">Údržba majetku obce </t>
  </si>
  <si>
    <t>Materiál a údržba</t>
  </si>
  <si>
    <t>Obecné noviny-Lábske noviny</t>
  </si>
  <si>
    <t>Energie</t>
  </si>
  <si>
    <t>04.4.3</t>
  </si>
  <si>
    <t>06.4.0</t>
  </si>
  <si>
    <t>05.4.0</t>
  </si>
  <si>
    <t>06.2.0</t>
  </si>
  <si>
    <t>Poistenie majetku</t>
  </si>
  <si>
    <t>odvoz a likvidácia odpadu (OLO)</t>
  </si>
  <si>
    <t>211</t>
  </si>
  <si>
    <t>Program 6:Pozemné komunikácie</t>
  </si>
  <si>
    <t>Program 1:Plánovanie, manažm. a kontrola</t>
  </si>
  <si>
    <t>Program 2:Interné služby obce</t>
  </si>
  <si>
    <t>Program 3:Služby občanom</t>
  </si>
  <si>
    <t>Program 4:Bezpečnosť, právo a poriadok</t>
  </si>
  <si>
    <t>Program 5:Odpadové hospodárstvo</t>
  </si>
  <si>
    <t>Program 7:Vzdelávanie</t>
  </si>
  <si>
    <t>Program 8:Kultúra a šport</t>
  </si>
  <si>
    <t>Program 9:Prostredie pre život</t>
  </si>
  <si>
    <t>Program 10:Sociálne služby</t>
  </si>
  <si>
    <t>Program 11:Administratíva</t>
  </si>
  <si>
    <t>poistenie budova ČOV a technológia</t>
  </si>
  <si>
    <t>projektové práce</t>
  </si>
  <si>
    <t xml:space="preserve"> - prenájom pošta</t>
  </si>
  <si>
    <t xml:space="preserve"> - prenájom hostinec</t>
  </si>
  <si>
    <t xml:space="preserve"> - prenájom Galmistav</t>
  </si>
  <si>
    <t xml:space="preserve">  -z prenajatých budov, priestorov a objektov</t>
  </si>
  <si>
    <t xml:space="preserve">  - Z výťažkov lotérií a iných podobných hier</t>
  </si>
  <si>
    <t>Vysielacie služby</t>
  </si>
  <si>
    <t>Rekreačné a športové služby</t>
  </si>
  <si>
    <t>Náhradné diely a opravy</t>
  </si>
  <si>
    <t>Bývanie a občianska vybavenosť</t>
  </si>
  <si>
    <t>06.1.0</t>
  </si>
  <si>
    <t>Poistenie zákonné - vozidlá</t>
  </si>
  <si>
    <t>Centrum voľného času, Malacky</t>
  </si>
  <si>
    <t>09.5.0.2</t>
  </si>
  <si>
    <t>CVČ Malacky</t>
  </si>
  <si>
    <t>PHM - zimná údržba ciest</t>
  </si>
  <si>
    <t>Údržba a oprava ciest</t>
  </si>
  <si>
    <t>Zimná údržba ciest (posyp.soľ)</t>
  </si>
  <si>
    <t>222</t>
  </si>
  <si>
    <t>telef.popl., poštovné (obec+ŠR)</t>
  </si>
  <si>
    <t>nádoby na odpad-kontajnery,koše</t>
  </si>
  <si>
    <t>odmeny na dohodu - robotníci</t>
  </si>
  <si>
    <t>Zdroj</t>
  </si>
  <si>
    <t>splátky úveru ŠFRB</t>
  </si>
  <si>
    <t>5            Posilovňa  (90,-/mes.)</t>
  </si>
  <si>
    <t>4            Lekáreň V.R.P. Zdravie (199,16/mes.)</t>
  </si>
  <si>
    <t>133</t>
  </si>
  <si>
    <t>Rozvoj bývania - BYTOVÝ DOM</t>
  </si>
  <si>
    <t>tovary a služby-prevádzka MŠ, údržba budovy</t>
  </si>
  <si>
    <t>tovary a služby-prevádzka ŠJ, údržba budovy</t>
  </si>
  <si>
    <t>Matrika-mzdy,odvody,prevádz.náklady</t>
  </si>
  <si>
    <t>REGOB-prevádzk.náklady</t>
  </si>
  <si>
    <t>telef.popl., poštovné ŠR+obec</t>
  </si>
  <si>
    <t xml:space="preserve"> - prenájom hrobových miest na 10 rokov</t>
  </si>
  <si>
    <t>orig.</t>
  </si>
  <si>
    <t>komp.</t>
  </si>
  <si>
    <t>normatív</t>
  </si>
  <si>
    <t xml:space="preserve">  - Príspevky na energie</t>
  </si>
  <si>
    <t>Plyn:   z toho:</t>
  </si>
  <si>
    <t xml:space="preserve">                  plyn - Obecný úrad</t>
  </si>
  <si>
    <t xml:space="preserve">                  plyn - pošta, lekáreň, st.OcÚ</t>
  </si>
  <si>
    <t xml:space="preserve">                  plyn - stará škola</t>
  </si>
  <si>
    <t xml:space="preserve">            elek.energia - Obecný úrad</t>
  </si>
  <si>
    <t xml:space="preserve">            elek.energia - pošta,lekáreň,st.OcÚ</t>
  </si>
  <si>
    <t xml:space="preserve">            elek.energia - stará škola</t>
  </si>
  <si>
    <t>Elektricka energia:   z toho:</t>
  </si>
  <si>
    <t xml:space="preserve">  - Vratky </t>
  </si>
  <si>
    <t>GRANTY A DOTÁCIE</t>
  </si>
  <si>
    <t>por.číslo</t>
  </si>
  <si>
    <t>podpoložka</t>
  </si>
  <si>
    <t>Havarijné stavy škôl</t>
  </si>
  <si>
    <t>UPGRADE - 2PC</t>
  </si>
  <si>
    <t>poistenie traktora</t>
  </si>
  <si>
    <t>Údržba automobilov,techniky,..</t>
  </si>
  <si>
    <t>Poplatky STK, EK</t>
  </si>
  <si>
    <t>Údržba výpočtovej techniky</t>
  </si>
  <si>
    <t>likvidácia skládky odpadu</t>
  </si>
  <si>
    <t>01.1.1</t>
  </si>
  <si>
    <t>06.2</t>
  </si>
  <si>
    <t>0.1.1.1</t>
  </si>
  <si>
    <t>08.4</t>
  </si>
  <si>
    <t>0.8.3</t>
  </si>
  <si>
    <t>03.2</t>
  </si>
  <si>
    <t>05.1</t>
  </si>
  <si>
    <t>05.2</t>
  </si>
  <si>
    <t>04.5.1</t>
  </si>
  <si>
    <t>09.1.2</t>
  </si>
  <si>
    <t>09.1.1</t>
  </si>
  <si>
    <t>09.5.0</t>
  </si>
  <si>
    <t>09.6.0.2</t>
  </si>
  <si>
    <t>08.1.0</t>
  </si>
  <si>
    <t>08.2.0</t>
  </si>
  <si>
    <t>10.7.0</t>
  </si>
  <si>
    <t>10.2.0</t>
  </si>
  <si>
    <t>10.9.0</t>
  </si>
  <si>
    <t>01.7.0</t>
  </si>
  <si>
    <t>mzdy a ost.osob.vyrovnania</t>
  </si>
  <si>
    <t>činnosť kultúrnej komisie-kult.akcie</t>
  </si>
  <si>
    <t>Odmeny pre poslancov+odvody</t>
  </si>
  <si>
    <t>Odmena zástupcu starostu+odvody</t>
  </si>
  <si>
    <t>Verejné osvetlenie (VO)</t>
  </si>
  <si>
    <t>všeobecný materiál do dielne</t>
  </si>
  <si>
    <t>pracovné pomôcky,pracovný odev</t>
  </si>
  <si>
    <t>vzdelávacie poukazy-prevádz.výdavky</t>
  </si>
  <si>
    <t>v EUR</t>
  </si>
  <si>
    <t>HV spol. Lábinvest+prerozdel.finanč.zostatku</t>
  </si>
  <si>
    <t xml:space="preserve">poistné,príspevky do poisťovní </t>
  </si>
  <si>
    <t>Odkúpenie pozemkov na ihrisku</t>
  </si>
  <si>
    <t>Kapitálové príjmy - dotácie</t>
  </si>
  <si>
    <t>Poistenie zákonné - CAS 32 T815</t>
  </si>
  <si>
    <t xml:space="preserve"> + Prebytok/ - Schodok rozpočtu</t>
  </si>
  <si>
    <t xml:space="preserve">Skutočnosť </t>
  </si>
  <si>
    <t xml:space="preserve">Schválený </t>
  </si>
  <si>
    <t>rozpočet</t>
  </si>
  <si>
    <t>Očakávaná</t>
  </si>
  <si>
    <t>skutočnosť</t>
  </si>
  <si>
    <t>3                   - separovaný zber KO</t>
  </si>
  <si>
    <t>630</t>
  </si>
  <si>
    <t>640</t>
  </si>
  <si>
    <t>1:  PLÁNOVANIE, MANAŽMENT A KONTROLA</t>
  </si>
  <si>
    <t>ekonomická</t>
  </si>
  <si>
    <t>klasifikácia</t>
  </si>
  <si>
    <t>2:  INTERNÉ  SLUŽBY  OBCE</t>
  </si>
  <si>
    <t>700</t>
  </si>
  <si>
    <t>Kapitál.investície predch.roky</t>
  </si>
  <si>
    <t>3:  SLUŽBY  OBČANOM</t>
  </si>
  <si>
    <t>Mzda matrikárka</t>
  </si>
  <si>
    <t>Prevádzkové náklady</t>
  </si>
  <si>
    <t>Obecné noviny-nedoplatky</t>
  </si>
  <si>
    <t>Voda nedoplatky</t>
  </si>
  <si>
    <t>Ostatné náklady</t>
  </si>
  <si>
    <t>ekonom.</t>
  </si>
  <si>
    <t>4:  BEZPEČNOSŤ  A  PORIADOK</t>
  </si>
  <si>
    <t>klasif.</t>
  </si>
  <si>
    <t>PROGRAM 4: Bezpečnosť a poriadok</t>
  </si>
  <si>
    <t>Energie nedoplatky</t>
  </si>
  <si>
    <t>Oprava a údržba nových vozidiel</t>
  </si>
  <si>
    <t>OLO-nedoplatky z predch.rokov</t>
  </si>
  <si>
    <t>funk.</t>
  </si>
  <si>
    <t>5:  ODPADOVÉ  HOSPODÁRSTVO</t>
  </si>
  <si>
    <t>ekon.</t>
  </si>
  <si>
    <t>6: POZEMNÉ  KOMUNIKÁCIE</t>
  </si>
  <si>
    <t>Oprava ciest-nedoplatky</t>
  </si>
  <si>
    <t>Správa a údržba pozem. komunikácií</t>
  </si>
  <si>
    <t>klas.</t>
  </si>
  <si>
    <t>7:  VZDELÁVANIE</t>
  </si>
  <si>
    <t>610</t>
  </si>
  <si>
    <t>620</t>
  </si>
  <si>
    <t>8:  KULTÚRA a ŠPORT</t>
  </si>
  <si>
    <t>odmena na dohodu</t>
  </si>
  <si>
    <t>energie - nedoplatky z predch.rokov</t>
  </si>
  <si>
    <t>9:  PROSTREDIE  PRE  ŽIVOT</t>
  </si>
  <si>
    <t>materiál na VO-nedoplatky</t>
  </si>
  <si>
    <t>Ochrana zdravia a živ.prostredia-z dotácie</t>
  </si>
  <si>
    <t>600;700</t>
  </si>
  <si>
    <t>10:  SOCIÁLNE  SLUŽBY</t>
  </si>
  <si>
    <t>odmena na dohodu-odvody,poistné</t>
  </si>
  <si>
    <t>11:  Administratíva</t>
  </si>
  <si>
    <t>650</t>
  </si>
  <si>
    <t>Plyn-nedoplatky</t>
  </si>
  <si>
    <t>Elektricka energia-nedoplatky</t>
  </si>
  <si>
    <t>odmeny na dohodu-odvody,poistné</t>
  </si>
  <si>
    <t>odmeny na dohodu</t>
  </si>
  <si>
    <t>SUMARIZÁCIA - Bežný rozpočet, kapitálový rozpočet, finančné operácie</t>
  </si>
  <si>
    <t>Kontajnery-z dotácie(predch.roky)</t>
  </si>
  <si>
    <t>ZaD ÚPN (predch.roky)</t>
  </si>
  <si>
    <t>Výstavba bytového domu (predch.roky)</t>
  </si>
  <si>
    <t xml:space="preserve"> - Dotácie v predch.rokoch</t>
  </si>
  <si>
    <t>Servis, údržba vozidiel</t>
  </si>
  <si>
    <t>Rekonštrukcia a moderniz. MR</t>
  </si>
  <si>
    <t>Kapitálové príjmy - ostatné</t>
  </si>
  <si>
    <t>KAPITÁLOVÉ PRÍJMY</t>
  </si>
  <si>
    <t>Kapitálové príjmy (predchádzajúce obdobia)</t>
  </si>
  <si>
    <t>Poistenie-nedopl. z predch.roka</t>
  </si>
  <si>
    <t>Odvody a poistenia zo mzdy</t>
  </si>
  <si>
    <t>ZŠ zost. normatívu z pred.roka</t>
  </si>
  <si>
    <t xml:space="preserve"> - ZŠ - príspevok na lyžiarsky výcvik</t>
  </si>
  <si>
    <t xml:space="preserve"> - ZŠ - príspevok na školu v prírode</t>
  </si>
  <si>
    <t xml:space="preserve"> - ZŠ - príspevok na učebnice</t>
  </si>
  <si>
    <t>Register adries-prevádzk.nákl.</t>
  </si>
  <si>
    <t>Prenájom pozemkov ihrisko a ostatných pozemkov</t>
  </si>
  <si>
    <t>revízie,údaje z BVS,prevádzk.ČOV</t>
  </si>
  <si>
    <t xml:space="preserve"> - Dobrovoľná požiarna ochrana SR - pre DHZ Láb</t>
  </si>
  <si>
    <t xml:space="preserve"> - Slovenský futbalový zväz - Potreby OŠK Láb</t>
  </si>
  <si>
    <t>Bežné príjmy obec spolu:</t>
  </si>
  <si>
    <t>PRÍJMY rozpočt.organizácií (MŠ a ZŠ) vlastné</t>
  </si>
  <si>
    <t xml:space="preserve">VÝDAVKY rozpočt.organizácií (MŠ a ZŠ) </t>
  </si>
  <si>
    <t xml:space="preserve">splátky úveru VÚB investičný </t>
  </si>
  <si>
    <t>Právne služby ostatné, verejné obstarávanie</t>
  </si>
  <si>
    <t>PRÍJMY OBEC SPOLU (bežné+kapitálové)</t>
  </si>
  <si>
    <t xml:space="preserve">VÝDAVKY OBEC SPOLU (bežné+kapitálové) </t>
  </si>
  <si>
    <t>tovary a služby-prevádzka ZŠ, údržba budovy</t>
  </si>
  <si>
    <t>Predčasné splatenie úveru DKUÚ</t>
  </si>
  <si>
    <t>Transfer asist.služby</t>
  </si>
  <si>
    <t>2018</t>
  </si>
  <si>
    <t>2019</t>
  </si>
  <si>
    <t>Skutočnosť</t>
  </si>
  <si>
    <t>Schválený</t>
  </si>
  <si>
    <t>údržba zariadenia, čistenie šácht, opravy, pohotovosť, havarijné stavy ČOV</t>
  </si>
  <si>
    <t>Úver VÚB  - kapitál.investície (verej.osvetl.+splat.úveru DKUU v r.2016)</t>
  </si>
  <si>
    <t>transfer pre 3 žiakov</t>
  </si>
  <si>
    <t>2020</t>
  </si>
  <si>
    <t>24</t>
  </si>
  <si>
    <t xml:space="preserve"> - BSK - Folklórny festival - Krojovaný deň</t>
  </si>
  <si>
    <t xml:space="preserve"> - BSK - Rekonštrukcia a moder.sociálnych zariadení v MŠ</t>
  </si>
  <si>
    <t xml:space="preserve"> - Enviromentálny fond </t>
  </si>
  <si>
    <t xml:space="preserve"> - Nadácia ZSE</t>
  </si>
  <si>
    <t xml:space="preserve"> - Minister.vnútra-Odbor školstva</t>
  </si>
  <si>
    <t xml:space="preserve"> - Nadácia SPP </t>
  </si>
  <si>
    <t xml:space="preserve"> - Nešpecifikované dotácie na kultúru</t>
  </si>
  <si>
    <t>Príspevok novorodencom</t>
  </si>
  <si>
    <t>Palivo-osob.motor.vozidlo VW Golf</t>
  </si>
  <si>
    <t>Palivo- osob.motor.vozidlo Š-Fábia</t>
  </si>
  <si>
    <t>DOTÁCIE</t>
  </si>
  <si>
    <t>OŠK Láb - poplatky SFZ (výkon rozhodcov, delegátov, registračky)</t>
  </si>
  <si>
    <t>OŠK Láb - prevádzkové náklady (čistiace prostriedky, pracie prášky...)</t>
  </si>
  <si>
    <t>OŠK Láb - Doprava na majstrovské zápasy 45x150</t>
  </si>
  <si>
    <t>Dotácie a transfery za predchádzajúce obdobia</t>
  </si>
  <si>
    <t>poplatky zväzu  SFZ (OŠK vrátil obci)</t>
  </si>
  <si>
    <t>Lábsky Majáles-obecné fin.prostriedky</t>
  </si>
  <si>
    <t>Refundácia od VÚB platba z r.2016-verejné osvetlenie</t>
  </si>
  <si>
    <t>Spevácky zbor CRÉDO (cestovné, fotoaparát, kopírka, kancel.potreby..)</t>
  </si>
  <si>
    <t>OZ LÁBJAN (cestovné, kroje, skriňa, vešiaky...)</t>
  </si>
  <si>
    <t>OŠK Láb - turnaj prípraviek</t>
  </si>
  <si>
    <t>OŠK Láb - tréningové pomôcky</t>
  </si>
  <si>
    <t>OŠK Láb - športové potreby</t>
  </si>
  <si>
    <t>OŠK Láb - zdravotnícke vybavenie</t>
  </si>
  <si>
    <t>OZ Judo Academy Láb - medzinárodný judistický tábor detí a mládeže /s podmienkou propagácie obce/</t>
  </si>
  <si>
    <t>zostatok z predch.roka</t>
  </si>
  <si>
    <t>1. a 2. etapa modernizácie šport.areálu</t>
  </si>
  <si>
    <t>Vypracovala: Katarína Kovárová</t>
  </si>
  <si>
    <t>21</t>
  </si>
  <si>
    <t>2021</t>
  </si>
  <si>
    <t>11:  ADMINISTRATÍVA</t>
  </si>
  <si>
    <r>
      <t>Obce</t>
    </r>
    <r>
      <rPr>
        <sz val="7"/>
        <rFont val="Arial CE"/>
        <family val="2"/>
      </rPr>
      <t>,  z toho:</t>
    </r>
  </si>
  <si>
    <t>Spracovanie PHSR</t>
  </si>
  <si>
    <t>Implementácia elektronizácie služieb</t>
  </si>
  <si>
    <t>Elektronizácia služieb-servisná podpora - ročný poplatok podľa počtu obyvateľov</t>
  </si>
  <si>
    <t>Odmeny veliteľ</t>
  </si>
  <si>
    <t>Odmeny veliteľ - odvody a poistné</t>
  </si>
  <si>
    <t>Odvody do poisťovní</t>
  </si>
  <si>
    <t>oprava a údržba traktora, hadice, spojky, uzávery...</t>
  </si>
  <si>
    <t>Údržba a oprava ciest zo ŠR</t>
  </si>
  <si>
    <t>OŠK Láb - turnaj seniorov v Prahe</t>
  </si>
  <si>
    <t>8:  KULTÚRA A ŠPORT</t>
  </si>
  <si>
    <t>PROGRAM 8:     Kultúra a šport</t>
  </si>
  <si>
    <t>Výpočtová technika - PC zostava</t>
  </si>
  <si>
    <t xml:space="preserve">           elek.energia - budova hostinca</t>
  </si>
  <si>
    <t xml:space="preserve">           elek.energia - nové zdrav.stredisko</t>
  </si>
  <si>
    <t xml:space="preserve">                  plyn - budova hostinca</t>
  </si>
  <si>
    <t xml:space="preserve">                  plyn - nové zdrav.stredisko</t>
  </si>
  <si>
    <t xml:space="preserve"> - výherné prístroje </t>
  </si>
  <si>
    <t>Rekonštrukcia hasičskej stanice z dotácie</t>
  </si>
  <si>
    <t>Dovybavenie kancelárií PC zostavy</t>
  </si>
  <si>
    <t>Údržba, rekonštrukcia budov</t>
  </si>
  <si>
    <t>odborné publikácie, knihy, časopisy</t>
  </si>
  <si>
    <t>poplatky, odvody, pokuty</t>
  </si>
  <si>
    <t>MŠ - ostatné príjmy (dobropis...)</t>
  </si>
  <si>
    <t>Šachový klub Láb</t>
  </si>
  <si>
    <t>6</t>
  </si>
  <si>
    <t>2022</t>
  </si>
  <si>
    <t>Kapitálové investície-ostatné-projektové dokumentácie, povinné spoluúčasti na projektoch</t>
  </si>
  <si>
    <t>energie ŠK (plyn, elektrina, voda)</t>
  </si>
  <si>
    <t>OŠK Láb dotácia spolu v tom:</t>
  </si>
  <si>
    <t>Finančné príjmy rozpočtových organizácií</t>
  </si>
  <si>
    <t xml:space="preserve"> - prenájom Dom smútku</t>
  </si>
  <si>
    <r>
      <t xml:space="preserve"> - asistenčný poplatok IOM </t>
    </r>
    <r>
      <rPr>
        <sz val="5"/>
        <rFont val="Arial CE"/>
        <family val="0"/>
      </rPr>
      <t>(223001 25 = 1,90€)</t>
    </r>
  </si>
  <si>
    <t xml:space="preserve"> - Dotácia ÚPSVaR na stravné-predškoláci v MŠ</t>
  </si>
  <si>
    <t>Čerpadlo Piranha na ČOV</t>
  </si>
  <si>
    <t>príspevok na stravné od ÚPSVaR</t>
  </si>
  <si>
    <t>transfer - príspevok na stravné od obce</t>
  </si>
  <si>
    <t>Krojovaný deň-z dotácie BSK</t>
  </si>
  <si>
    <t>Krojovaný deň-obecné fin.prostriedky</t>
  </si>
  <si>
    <t>Lábsky Majáles-z dotácie Nadácie EPH</t>
  </si>
  <si>
    <t>opatrovateľská služba, komunitný plán</t>
  </si>
  <si>
    <t>MŠ a ZŠ zost.z predchádzajúceho roka-stravné</t>
  </si>
  <si>
    <t xml:space="preserve"> + Prebytok /-Schodok kapitálového rozpočtu</t>
  </si>
  <si>
    <t xml:space="preserve"> + Prebytok /-Schodok bežného rozpočtu</t>
  </si>
  <si>
    <t xml:space="preserve"> - prenájom zdravotné stredisko - 2 ambulancie</t>
  </si>
  <si>
    <t>2           Zdrav.stredisko 2 ambulancie (2x50,00€/mes.)</t>
  </si>
  <si>
    <t>príspevok pre predškolákov na stravné od ÚPSVaR</t>
  </si>
  <si>
    <t>prevádzkové výdavky z ostatných vl. príjmov MŠ (dobropis..)</t>
  </si>
  <si>
    <t>prevádzkové výdavky z poplatkov od rodičov</t>
  </si>
  <si>
    <t>čistiace prostriedky (v minulosti aj nákup práčky)</t>
  </si>
  <si>
    <t xml:space="preserve"> - prenájom bytový dom Láb 666</t>
  </si>
  <si>
    <t>Výstroj,výzbroj z dotácie DPO SR + spoluúčasť obce</t>
  </si>
  <si>
    <t>odmeny na dohodu-údržba-poistné,odvody</t>
  </si>
  <si>
    <t>materiál, údržba výpočt.techniky (obec+ŠR)</t>
  </si>
  <si>
    <t>Údržba majetku obce</t>
  </si>
  <si>
    <t xml:space="preserve">                    - predaj deratizačného materiálu</t>
  </si>
  <si>
    <t xml:space="preserve">  - pokuty za priestupky</t>
  </si>
  <si>
    <t xml:space="preserve">   - vývoz septikov</t>
  </si>
  <si>
    <t xml:space="preserve">   - služby v DS</t>
  </si>
  <si>
    <t xml:space="preserve"> - ZŠ - vzdelávacie poukazy</t>
  </si>
  <si>
    <t xml:space="preserve"> - Matričný úrad</t>
  </si>
  <si>
    <t xml:space="preserve"> - Stavebný úrad </t>
  </si>
  <si>
    <t xml:space="preserve"> - Životné prostredie</t>
  </si>
  <si>
    <t xml:space="preserve"> - Hlásenie pobytu občanov-REGOB</t>
  </si>
  <si>
    <t xml:space="preserve"> - Register adries</t>
  </si>
  <si>
    <t xml:space="preserve"> - Nafta, resp. Nadácia EPH pre akciu Lábsky Majáles</t>
  </si>
  <si>
    <t xml:space="preserve"> - Úrad vlády SR</t>
  </si>
  <si>
    <t>(refundácia PHM od DPO,tabuľky s orient.číslami)</t>
  </si>
  <si>
    <t>prevádzkové výdavky z vl.príjmu (nájom telocvične a školy pre SZUŠ)</t>
  </si>
  <si>
    <t>Údržba a služby-cintorín a Domu smútku</t>
  </si>
  <si>
    <t>odmena prevádzkár</t>
  </si>
  <si>
    <t xml:space="preserve">odmena prevádzkár - odvody a poistné </t>
  </si>
  <si>
    <t>14</t>
  </si>
  <si>
    <t>610,620,630</t>
  </si>
  <si>
    <t>MŠ - príjem od rodičov (poplatky za MŠ)</t>
  </si>
  <si>
    <t>Vlastné príjmy RO</t>
  </si>
  <si>
    <t>VLASTNÉ PRÍJMY-ROZPOČTOVÝCH ORGANIZÁCIÍ</t>
  </si>
  <si>
    <t>ZŠ ŠJ - príjem za réžiu od rodičov, zamestnancov a ost.stravníkov</t>
  </si>
  <si>
    <t>ZŠ ŠJ - príjem z prenájmu jedálne</t>
  </si>
  <si>
    <t>ZŠ ŠKD - príjem od rodičov (poplatky za ŠKD)</t>
  </si>
  <si>
    <t>mzdy, odvody, tovary a služby zo ŠR (z príspevku na predškolákov)</t>
  </si>
  <si>
    <t>mzdy, platy a ost.osob.vyrovnania</t>
  </si>
  <si>
    <t>mzdy, platy a ost.osobné vyrovnania</t>
  </si>
  <si>
    <r>
      <t>F I N A N Č N É   O P E R Á CI E  spolu</t>
    </r>
    <r>
      <rPr>
        <b/>
        <i/>
        <vertAlign val="superscript"/>
        <sz val="6"/>
        <rFont val="Arial CE"/>
        <family val="0"/>
      </rPr>
      <t>*</t>
    </r>
  </si>
  <si>
    <t>IOM správne poplatky (456002 25 = 2,00 €)</t>
  </si>
  <si>
    <t>IOM správne poplatky (819005 = 2,00 €)</t>
  </si>
  <si>
    <t>Jednota dôchodcov na Slovensku, Základná organizácia Láb (relaxačný pobyt-doprava, divadelné predstavenie)</t>
  </si>
  <si>
    <t>OŠK Láb - inventár (sušička)</t>
  </si>
  <si>
    <t>Z. Pálinkášová - OZ Move&amp;Think (rebriny)</t>
  </si>
  <si>
    <t>Kanalizácia - dotácia z Environmentálneho fondu</t>
  </si>
  <si>
    <t>Rekonštrukcia strechy a výmena okien na budove Domu smútku - dotácia z MAS Dolné Záhorie</t>
  </si>
  <si>
    <t>Kanalizácia (z dotácie Environmentálneho fondu)</t>
  </si>
  <si>
    <t>Rekonštrukcia strechy a výmena okien na budove Domu smútku (z dotácie MAS Dolné Záhorie)</t>
  </si>
  <si>
    <t>Rekonštrukcia strechy a výmena okien na budove Domu smútku (obecné fin.prostriedky)</t>
  </si>
  <si>
    <t>015</t>
  </si>
  <si>
    <t xml:space="preserve"> - poplatok za rozvoj</t>
  </si>
  <si>
    <t>ZŠ-príjem z prenájmu telocvične a školy pre SZUŠ</t>
  </si>
  <si>
    <t>v tom Bežné príjmy rozp.organiz.(MŠaZŠ)-vlastné</t>
  </si>
  <si>
    <t>transfer od zriaďovateľa- príspevok na stravu predškolákov</t>
  </si>
  <si>
    <t>na vedomie</t>
  </si>
  <si>
    <t>Členské príspevky-nedoplatky</t>
  </si>
  <si>
    <t>stravovanie zamestnancov</t>
  </si>
  <si>
    <t>33</t>
  </si>
  <si>
    <t>prídel do sociálneho fondu</t>
  </si>
  <si>
    <t>telefónne poplatky</t>
  </si>
  <si>
    <t>poštovné služby</t>
  </si>
  <si>
    <t>všeob.služby, revízie, BOZP, verej. obstarávanie, spracovanie PHSR, prenájom meračov rýchlosti, prenájom kopírok</t>
  </si>
  <si>
    <t>archivácia - registratúra</t>
  </si>
  <si>
    <t>materiál (kancel.potreby,hygienické potreby,tabuľky s orient.číslami, súpisn.č., tabuľky s názvami ulíc, reklamné tabule...)</t>
  </si>
  <si>
    <t>mzdy, platy a ostatné osobné vyrovnania (starosta, prednostka, hl.kontrolórka, 3 referentky)</t>
  </si>
  <si>
    <t>poistné a príspevky do poisťovní</t>
  </si>
  <si>
    <t>voľby</t>
  </si>
  <si>
    <t>splácanie úrokov z úveru (ŠFRB)</t>
  </si>
  <si>
    <t>poplatky banke</t>
  </si>
  <si>
    <t>tovary a služby z vlastného príjmu (z poplatkov rodičov na MŠ)</t>
  </si>
  <si>
    <t>počet detí, resp. žiakov</t>
  </si>
  <si>
    <t>MŠ - 87</t>
  </si>
  <si>
    <t xml:space="preserve"> - Dotácia ÚPSVaR na stravné-žiaci v ZŠ - réžia</t>
  </si>
  <si>
    <t>631</t>
  </si>
  <si>
    <t>príspevok na réžia od ÚPSVaR</t>
  </si>
  <si>
    <t>Zateplenie stará škola (obecné fin.prostriedky)</t>
  </si>
  <si>
    <t>výdavky z vlastného príjmu (nájom ŠJ) na mzdy, odvody, tovary a služby</t>
  </si>
  <si>
    <t>Zateplenie stará škola - z dotácie</t>
  </si>
  <si>
    <t>Zateplenie stará škola (z dotácie)</t>
  </si>
  <si>
    <t>výdavky (z vlastného príjmu za jedlo od zamestnancov,ostatních,dôchodcov) na mzdy, odvody, tovary a služby</t>
  </si>
  <si>
    <t>Odkúpenie OS Lábinvest s.r.o.</t>
  </si>
  <si>
    <t>prevádzkové výdavky z ostatných vlast.príjmov (z príjmu za stravu)</t>
  </si>
  <si>
    <t xml:space="preserve">  - poplatky za predaj výrobkov, tovarov a služieb</t>
  </si>
  <si>
    <t xml:space="preserve"> - Cestná doprava, miestne komunikácie</t>
  </si>
  <si>
    <t>Príjem z peňažných fondov obce/Rezervný fond</t>
  </si>
  <si>
    <t>Programový rozpočet obce Láb na roky 2021, 2022, 2023</t>
  </si>
  <si>
    <t>2023</t>
  </si>
  <si>
    <t xml:space="preserve"> - prenájom Lekáreň </t>
  </si>
  <si>
    <t>6            Ostatné-zmluvy o výpožičke</t>
  </si>
  <si>
    <t>Kapitálové dotácie za predchádzajúce obdobia (rekonštrukcia hasičskej stanice, hracie prvky pre MŠ, závlaha ihriska.....)</t>
  </si>
  <si>
    <t>Výsledok hospodárenia po vylúčení z prebytku</t>
  </si>
  <si>
    <t>Vylúčenie z prebytku (zost.normatívu ZŠ+ŠJ+dotácia na stravu)</t>
  </si>
  <si>
    <t>Úprava rozpočtového hospodárenia/Mimorozp. položky  +/-</t>
  </si>
  <si>
    <t>Fond opráv, nedoplatky za odsťahovaných (pri neobsadenom byte)</t>
  </si>
  <si>
    <t xml:space="preserve">  - poplatok za komun.odpady a drobné staveb.odpady (+zberný dvor)</t>
  </si>
  <si>
    <t xml:space="preserve">   - kopírovacie práce,MR,pranie bielizne,vrecia</t>
  </si>
  <si>
    <t xml:space="preserve">1           Dom smútku (33,-/mes.) </t>
  </si>
  <si>
    <t xml:space="preserve"> - Voľby + SOBD</t>
  </si>
  <si>
    <t>MŠ ŠJ - príjem za potraviny (stravné) od rodičov, zamestnancov a ost.stravníkov</t>
  </si>
  <si>
    <t>MŠ ŠJ - príjem od rodičov za obedy (réžia)</t>
  </si>
  <si>
    <t>ZŠ ŠJ - príjem za potraviny (stravné)</t>
  </si>
  <si>
    <t>ZŠ - ostatné príjmy (ŠJ-termoboxy,dobropis...)</t>
  </si>
  <si>
    <t>Rekonštrukcia a modernizácia budovy Obecného úradu</t>
  </si>
  <si>
    <t>Obnova priestorov bývalého zdravot.strediska a klubu dôchodcov; interiérové vybavenie</t>
  </si>
  <si>
    <t>Materiál-tonery,pásky,médiá,tlačiareň</t>
  </si>
  <si>
    <t>Softvér, licencie, DMS modul,router</t>
  </si>
  <si>
    <t>Tvorba novej web stránky obce</t>
  </si>
  <si>
    <t>Modul Poplatok za rozvoj</t>
  </si>
  <si>
    <t>Poistenie zákonné,havarijné(osobné vozidlo)</t>
  </si>
  <si>
    <r>
      <t xml:space="preserve">Služby IOM </t>
    </r>
    <r>
      <rPr>
        <sz val="7"/>
        <rFont val="Arial CE"/>
        <family val="0"/>
      </rPr>
      <t>(preúčtované vo FO)</t>
    </r>
  </si>
  <si>
    <t>Poplatky SOZA, RTVS</t>
  </si>
  <si>
    <t>Prevádzkové náklady, ošatné</t>
  </si>
  <si>
    <t>PD Zámer Rozšírenie cintorína (Virtuálny cintorín-softvér)</t>
  </si>
  <si>
    <t>Súťaže,prac.odev,školenia,odmeny, pilčíci,asist.služby,psychotesty</t>
  </si>
  <si>
    <t>Civilná ochrana - COVID-19</t>
  </si>
  <si>
    <t>3</t>
  </si>
  <si>
    <t>02.2</t>
  </si>
  <si>
    <t>Všeobecný materiál, dezinfekčné prostriedky, ochranné rúška, bezpečnostné sklá....</t>
  </si>
  <si>
    <t>Výstavba garáže-dokončovacie práce</t>
  </si>
  <si>
    <t>Fekálny príves na vývoz septikov</t>
  </si>
  <si>
    <t>prevádzkové výdavky z ostatných vlast.príjmov (z príjmu od rodičov za obedy)-réžia</t>
  </si>
  <si>
    <t>výdavky (z vlastného príjmu za jedlo od rodičov) na mzdy, odvody, tovary a služby - potraviny</t>
  </si>
  <si>
    <t>zostatok z  r.2019 - stravné a potraviny</t>
  </si>
  <si>
    <t>zostatok z predch.roka-normatív</t>
  </si>
  <si>
    <t>všeobecný materiál, tovary a služby, údržba umelého trávnika</t>
  </si>
  <si>
    <t>materiál, služby ŠR+obec</t>
  </si>
  <si>
    <t xml:space="preserve">                  - dividendy z BVS</t>
  </si>
  <si>
    <t xml:space="preserve">                  - z prenajatých pozemkov, vodnej plochy</t>
  </si>
  <si>
    <r>
      <t xml:space="preserve">Kapitál.výdavky-modernizácia budovy na ihrisku + revitalizácia trávnika hracej plochy + mobilné kontajnery + </t>
    </r>
    <r>
      <rPr>
        <b/>
        <sz val="7"/>
        <rFont val="Arial CE"/>
        <family val="0"/>
      </rPr>
      <t>klimatizácia</t>
    </r>
    <r>
      <rPr>
        <sz val="7"/>
        <rFont val="Arial CE"/>
        <family val="2"/>
      </rPr>
      <t xml:space="preserve"> </t>
    </r>
    <r>
      <rPr>
        <sz val="7"/>
        <color indexed="10"/>
        <rFont val="Arial CE"/>
        <family val="0"/>
      </rPr>
      <t xml:space="preserve">+ </t>
    </r>
    <r>
      <rPr>
        <b/>
        <sz val="7"/>
        <color indexed="10"/>
        <rFont val="Arial CE"/>
        <family val="0"/>
      </rPr>
      <t>dokončenie modernizácie</t>
    </r>
  </si>
  <si>
    <t>Dobudovanie sociálnych zariadení v klube JDS</t>
  </si>
  <si>
    <t>Kanalizácia (obecné fin.prostriedky) projekt.dokumentácia</t>
  </si>
  <si>
    <t>Odmeny dobrovoľníkom spolupracujúcim na celoplošnom testovaní na ochorenie COVID-19</t>
  </si>
  <si>
    <t>Podpora udržania zamestnanosti v MŠ</t>
  </si>
  <si>
    <t xml:space="preserve">  -ZŠ-normatív vrátane pandemického príspevku a zabezpečenie dištančného vzdelávania</t>
  </si>
  <si>
    <t>55                 - popl. za mimoriadne čistenie zariadení</t>
  </si>
  <si>
    <t>6                   - stočné</t>
  </si>
  <si>
    <t xml:space="preserve"> - poplatok za DSO v zmysle VZN (Zberný dvor)</t>
  </si>
  <si>
    <t xml:space="preserve"> - prenájom ostatné (multifun.ihrisko) </t>
  </si>
  <si>
    <t>MŠ - Podpora udržania zamestnanosti (z ÚPSVaR)</t>
  </si>
  <si>
    <t xml:space="preserve"> - ostatné poplatky (MZZO, ost.správne poplatky)</t>
  </si>
  <si>
    <t>PHM kosačky</t>
  </si>
  <si>
    <t>PHM traktor</t>
  </si>
  <si>
    <t>ZŠ ostatné výdavky (prevádzka) z dobropisov, termoboxy...</t>
  </si>
  <si>
    <t>Poznámky:</t>
  </si>
  <si>
    <t>Minimálna mzda 2021 = 623,00 €</t>
  </si>
  <si>
    <t>Hodinová minim.mzda = 3,58 €</t>
  </si>
  <si>
    <t xml:space="preserve"> - Dotácia ÚPSVaR na stravné-žiaci v ZŠ </t>
  </si>
  <si>
    <t>z popl.za rozvoj</t>
  </si>
  <si>
    <t>z kapit.príjmu (pozemky) a z bežného príjmu + RF</t>
  </si>
  <si>
    <t>Poznámka:</t>
  </si>
  <si>
    <t>Kapitálové výdavky - obec</t>
  </si>
  <si>
    <t>Kapitálové výdavky - dotácia</t>
  </si>
  <si>
    <t>Kapitálové výdavky - spolu</t>
  </si>
  <si>
    <t>Príjem z poplatku za rozvoj</t>
  </si>
  <si>
    <t>Použitie popl.za rozvoj</t>
  </si>
  <si>
    <t>Dokonč.moder.ihriska</t>
  </si>
  <si>
    <t>Finančné príjmy ostatné/zost.príjmu z poplatku za rozvoj</t>
  </si>
  <si>
    <t>Zostatok príjmu z poplatku za rozvoj</t>
  </si>
  <si>
    <t>kapit.výdavky z dotácie</t>
  </si>
  <si>
    <t>Technologické vybavenie, stroje - dotácia z Environmentálneho fondu</t>
  </si>
  <si>
    <t>z popl.za rozvoj a z RF</t>
  </si>
  <si>
    <t>z dotácie</t>
  </si>
  <si>
    <t>Kanalizácia spoluúčasť(časť)</t>
  </si>
  <si>
    <r>
      <t xml:space="preserve">Dokúpenie technolog. vybavenia jedálne ZŠ - (konvektomat r.2018; robot r.2019; </t>
    </r>
    <r>
      <rPr>
        <sz val="8"/>
        <color indexed="10"/>
        <rFont val="Arial CE"/>
        <family val="0"/>
      </rPr>
      <t>elekt.trojrúra a komb.sporák r.2021</t>
    </r>
    <r>
      <rPr>
        <sz val="8"/>
        <rFont val="Arial CE"/>
        <family val="2"/>
      </rPr>
      <t>)</t>
    </r>
  </si>
  <si>
    <t>ŠKD - 199 (celkový počet žiakov v ZŠ)</t>
  </si>
  <si>
    <t>ŠJ - 199 (celkový počet žiakov v ZŠ)</t>
  </si>
  <si>
    <t>mzdy a ost.osob.vyrovnania-údržba+upratovanie, vrátane nadčasov</t>
  </si>
  <si>
    <t>kapit.výdavky z poplatku za rozvoj - kanalizácia prog.2</t>
  </si>
  <si>
    <t>kapit.výdavky z RF - kanalizácia prog.2</t>
  </si>
  <si>
    <t>RF</t>
  </si>
  <si>
    <t>kapit. výdavky škola z RF prog. 7</t>
  </si>
  <si>
    <t>kapit. výdavky škola z bežných príjmov prog. 7</t>
  </si>
  <si>
    <t>Právne služby obce</t>
  </si>
  <si>
    <t>Výkonné a zákonodarné orgány</t>
  </si>
  <si>
    <t>Miestny rozhlas a obecné noviny</t>
  </si>
  <si>
    <t>Vysielacie a vydavateľské služby</t>
  </si>
  <si>
    <t>Mzdy a ost.osobné vyrovnania, vrátane príplatkov za nadčasy (2 ZC)</t>
  </si>
  <si>
    <t>Všeobecný materiál</t>
  </si>
  <si>
    <t>03.6</t>
  </si>
  <si>
    <t>Verejný poriadok  a bezpečnosť ide neklasifik.</t>
  </si>
  <si>
    <t>Verejný poriadok - kamerový systém</t>
  </si>
  <si>
    <t xml:space="preserve">Realizácia stavieb a ich technické zhodnotenie - rekonštrukcia kúpeľne </t>
  </si>
  <si>
    <t>Sociálna výpomoc občanom - jednotlivci</t>
  </si>
  <si>
    <t>z RF</t>
  </si>
  <si>
    <t>kapit.výdavky z RF - dom smútku prog.2</t>
  </si>
  <si>
    <t>Návrh rozpočtu Obce Láb na roky 2021-2023 bol zverejnený na úradnej tabuli obce dňa 23.11.2020</t>
  </si>
  <si>
    <t>kapit. výdavky ihrisko z popl.za rozvoj prog. 8</t>
  </si>
  <si>
    <r>
      <t xml:space="preserve"> - MVSR-čiastočné preplatenie nákladov </t>
    </r>
    <r>
      <rPr>
        <sz val="6"/>
        <rFont val="Arial CE"/>
        <family val="0"/>
      </rPr>
      <t>COVID-19</t>
    </r>
  </si>
  <si>
    <t>Výmena motor.oleja Renault Master</t>
  </si>
  <si>
    <t>Akumulátory Š706 2ks</t>
  </si>
  <si>
    <t>Akumulátor Renault Master 1ks</t>
  </si>
  <si>
    <t>Akumulátor PPS12 1ks</t>
  </si>
  <si>
    <t>5-ročná revízia ADP Saturn</t>
  </si>
  <si>
    <t>5-ročná revízia tl.nádoby</t>
  </si>
  <si>
    <t>Ročná garančná prehliadka Iveco Daily</t>
  </si>
  <si>
    <t>GO palivového čerpadla Š706</t>
  </si>
  <si>
    <t>Žiadosti o dotácie na rok 2021:</t>
  </si>
  <si>
    <t xml:space="preserve"> - OŠK Láb</t>
  </si>
  <si>
    <t>bežné</t>
  </si>
  <si>
    <t>kapitálové</t>
  </si>
  <si>
    <t xml:space="preserve"> - DHZ Láb</t>
  </si>
  <si>
    <t xml:space="preserve"> - Move&amp;Think</t>
  </si>
  <si>
    <t xml:space="preserve"> - Jednota dôchodcov</t>
  </si>
  <si>
    <t>DHZ Láb (oslava 130. výročia)</t>
  </si>
  <si>
    <t>Rozpočet Obce Láb na rok 2021 bol schválený ObZ dňa 14.12.2020, uznesením č. 43/2020.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</si>
</sst>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.00\ [$€-1]"/>
    <numFmt numFmtId="191" formatCode="#,##0.0"/>
    <numFmt numFmtId="192" formatCode="[$-41B]d\.\ mmmm\ yyyy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_-* #,##0.00\ [$€-1]_-;\-* #,##0.00\ [$€-1]_-;_-* &quot;-&quot;??\ [$€-1]_-;_-@_-"/>
    <numFmt numFmtId="197" formatCode="0.0000"/>
    <numFmt numFmtId="198" formatCode="0.0000000"/>
    <numFmt numFmtId="199" formatCode="\P\r\a\vd\a;&quot;Pravda&quot;;&quot;Nepravda&quot;"/>
    <numFmt numFmtId="200" formatCode="[$€-2]\ #\ ##,000_);[Red]\([$¥€-2]\ #\ ##,000\)"/>
    <numFmt numFmtId="201" formatCode="#,##0.00\ &quot;€&quot;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2"/>
      <name val="Tahoma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7"/>
      <color indexed="8"/>
      <name val="Arial CE"/>
      <family val="2"/>
    </font>
    <font>
      <sz val="7.5"/>
      <name val="Arial CE"/>
      <family val="2"/>
    </font>
    <font>
      <i/>
      <sz val="8"/>
      <color indexed="10"/>
      <name val="Arial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6"/>
      <name val="Arial CE"/>
      <family val="2"/>
    </font>
    <font>
      <b/>
      <i/>
      <sz val="6"/>
      <name val="Arial CE"/>
      <family val="2"/>
    </font>
    <font>
      <sz val="7"/>
      <color indexed="8"/>
      <name val="Arial"/>
      <family val="2"/>
    </font>
    <font>
      <b/>
      <i/>
      <sz val="7"/>
      <color indexed="8"/>
      <name val="Arial CE"/>
      <family val="2"/>
    </font>
    <font>
      <b/>
      <sz val="7"/>
      <color indexed="8"/>
      <name val="Arial CE"/>
      <family val="2"/>
    </font>
    <font>
      <b/>
      <sz val="7"/>
      <color indexed="10"/>
      <name val="Arial"/>
      <family val="2"/>
    </font>
    <font>
      <i/>
      <sz val="7"/>
      <color indexed="10"/>
      <name val="Arial"/>
      <family val="2"/>
    </font>
    <font>
      <b/>
      <i/>
      <sz val="7"/>
      <color indexed="12"/>
      <name val="Arial"/>
      <family val="2"/>
    </font>
    <font>
      <b/>
      <sz val="7"/>
      <color indexed="12"/>
      <name val="Arial"/>
      <family val="2"/>
    </font>
    <font>
      <i/>
      <sz val="6"/>
      <name val="Arial CE"/>
      <family val="2"/>
    </font>
    <font>
      <b/>
      <sz val="11"/>
      <name val="Arial"/>
      <family val="2"/>
    </font>
    <font>
      <b/>
      <sz val="11"/>
      <color indexed="12"/>
      <name val="Tahoma"/>
      <family val="2"/>
    </font>
    <font>
      <b/>
      <u val="single"/>
      <sz val="8"/>
      <name val="Arial"/>
      <family val="2"/>
    </font>
    <font>
      <b/>
      <i/>
      <sz val="9"/>
      <name val="Arial CE"/>
      <family val="2"/>
    </font>
    <font>
      <sz val="6"/>
      <name val="Arial"/>
      <family val="2"/>
    </font>
    <font>
      <b/>
      <sz val="7.5"/>
      <name val="Arial CE"/>
      <family val="2"/>
    </font>
    <font>
      <sz val="9"/>
      <name val="Arial CE"/>
      <family val="2"/>
    </font>
    <font>
      <sz val="6.5"/>
      <name val="Arial CE"/>
      <family val="2"/>
    </font>
    <font>
      <b/>
      <i/>
      <vertAlign val="superscript"/>
      <sz val="6"/>
      <name val="Arial CE"/>
      <family val="0"/>
    </font>
    <font>
      <b/>
      <i/>
      <sz val="7.5"/>
      <name val="Arial CE"/>
      <family val="2"/>
    </font>
    <font>
      <b/>
      <i/>
      <sz val="5"/>
      <name val="Arial CE"/>
      <family val="0"/>
    </font>
    <font>
      <sz val="7"/>
      <color indexed="10"/>
      <name val="Arial CE"/>
      <family val="0"/>
    </font>
    <font>
      <b/>
      <sz val="7"/>
      <color indexed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color indexed="10"/>
      <name val="Arial CE"/>
      <family val="0"/>
    </font>
    <font>
      <sz val="6"/>
      <name val="Times New Roman"/>
      <family val="1"/>
    </font>
    <font>
      <i/>
      <sz val="7"/>
      <name val="Arial"/>
      <family val="2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7"/>
      <name val="Times New Roman"/>
      <family val="1"/>
    </font>
    <font>
      <sz val="18"/>
      <color indexed="54"/>
      <name val="Calibri Light"/>
      <family val="2"/>
    </font>
    <font>
      <sz val="18"/>
      <color indexed="10"/>
      <name val="Arial"/>
      <family val="2"/>
    </font>
    <font>
      <sz val="9"/>
      <color indexed="10"/>
      <name val="Arial CE"/>
      <family val="2"/>
    </font>
    <font>
      <b/>
      <i/>
      <sz val="7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 CE"/>
      <family val="2"/>
    </font>
    <font>
      <sz val="18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Arial CE"/>
      <family val="2"/>
    </font>
    <font>
      <sz val="9"/>
      <color rgb="FFFF0000"/>
      <name val="Arial CE"/>
      <family val="2"/>
    </font>
    <font>
      <b/>
      <i/>
      <sz val="7"/>
      <color rgb="FF000000"/>
      <name val="Arial"/>
      <family val="2"/>
    </font>
    <font>
      <b/>
      <sz val="11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Dashed"/>
      <right style="thin"/>
      <top>
        <color indexed="63"/>
      </top>
      <bottom style="thin"/>
    </border>
    <border>
      <left style="thin"/>
      <right style="mediumDashed"/>
      <top>
        <color indexed="63"/>
      </top>
      <bottom style="thin"/>
    </border>
    <border>
      <left style="thin"/>
      <right style="mediumDashed"/>
      <top style="thin"/>
      <bottom style="thin"/>
    </border>
    <border>
      <left style="mediumDashed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 style="thin"/>
      <bottom style="mediumDashed"/>
    </border>
    <border>
      <left style="thin"/>
      <right style="medium"/>
      <top style="thin"/>
      <bottom style="mediumDashed"/>
    </border>
    <border>
      <left style="thin"/>
      <right style="mediumDashed"/>
      <top style="thin"/>
      <bottom style="mediumDashed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0" fontId="100" fillId="33" borderId="0" applyNumberFormat="0" applyBorder="0" applyAlignment="0" applyProtection="0"/>
    <xf numFmtId="0" fontId="3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6" borderId="6" applyNumberFormat="0" applyFont="0" applyAlignment="0" applyProtection="0"/>
    <xf numFmtId="0" fontId="13" fillId="0" borderId="7" applyNumberFormat="0" applyFill="0" applyAlignment="0" applyProtection="0"/>
    <xf numFmtId="0" fontId="102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37" borderId="9" applyNumberFormat="0" applyAlignment="0" applyProtection="0"/>
    <xf numFmtId="0" fontId="18" fillId="37" borderId="10" applyNumberFormat="0" applyAlignment="0" applyProtection="0"/>
    <xf numFmtId="0" fontId="1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</cellStyleXfs>
  <cellXfs count="1270">
    <xf numFmtId="0" fontId="0" fillId="0" borderId="0" xfId="0" applyAlignment="1">
      <alignment/>
    </xf>
    <xf numFmtId="49" fontId="20" fillId="0" borderId="0" xfId="0" applyNumberFormat="1" applyFont="1" applyBorder="1" applyAlignment="1">
      <alignment vertical="center"/>
    </xf>
    <xf numFmtId="0" fontId="24" fillId="36" borderId="11" xfId="0" applyFont="1" applyFill="1" applyBorder="1" applyAlignment="1">
      <alignment/>
    </xf>
    <xf numFmtId="49" fontId="25" fillId="36" borderId="12" xfId="0" applyNumberFormat="1" applyFont="1" applyFill="1" applyBorder="1" applyAlignment="1">
      <alignment horizontal="center"/>
    </xf>
    <xf numFmtId="49" fontId="26" fillId="36" borderId="13" xfId="0" applyNumberFormat="1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49" fontId="27" fillId="35" borderId="15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0" fontId="24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36" borderId="16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8" fillId="36" borderId="17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36" borderId="18" xfId="0" applyFont="1" applyFill="1" applyBorder="1" applyAlignment="1">
      <alignment horizontal="center"/>
    </xf>
    <xf numFmtId="49" fontId="27" fillId="36" borderId="19" xfId="0" applyNumberFormat="1" applyFont="1" applyFill="1" applyBorder="1" applyAlignment="1">
      <alignment horizontal="center"/>
    </xf>
    <xf numFmtId="49" fontId="23" fillId="36" borderId="19" xfId="0" applyNumberFormat="1" applyFont="1" applyFill="1" applyBorder="1" applyAlignment="1">
      <alignment horizontal="center"/>
    </xf>
    <xf numFmtId="0" fontId="24" fillId="36" borderId="20" xfId="0" applyFont="1" applyFill="1" applyBorder="1" applyAlignment="1">
      <alignment/>
    </xf>
    <xf numFmtId="0" fontId="34" fillId="36" borderId="21" xfId="0" applyFont="1" applyFill="1" applyBorder="1" applyAlignment="1">
      <alignment horizontal="center"/>
    </xf>
    <xf numFmtId="0" fontId="29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/>
    </xf>
    <xf numFmtId="0" fontId="24" fillId="36" borderId="19" xfId="0" applyFont="1" applyFill="1" applyBorder="1" applyAlignment="1">
      <alignment horizontal="center"/>
    </xf>
    <xf numFmtId="0" fontId="34" fillId="36" borderId="16" xfId="0" applyFont="1" applyFill="1" applyBorder="1" applyAlignment="1">
      <alignment horizontal="center"/>
    </xf>
    <xf numFmtId="0" fontId="29" fillId="36" borderId="12" xfId="0" applyFont="1" applyFill="1" applyBorder="1" applyAlignment="1">
      <alignment horizontal="center"/>
    </xf>
    <xf numFmtId="0" fontId="34" fillId="36" borderId="24" xfId="0" applyFont="1" applyFill="1" applyBorder="1" applyAlignment="1">
      <alignment horizontal="center"/>
    </xf>
    <xf numFmtId="0" fontId="34" fillId="49" borderId="25" xfId="0" applyFont="1" applyFill="1" applyBorder="1" applyAlignment="1">
      <alignment horizontal="center"/>
    </xf>
    <xf numFmtId="0" fontId="34" fillId="49" borderId="26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4" fillId="5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4" fillId="36" borderId="27" xfId="0" applyFont="1" applyFill="1" applyBorder="1" applyAlignment="1">
      <alignment horizontal="center"/>
    </xf>
    <xf numFmtId="49" fontId="27" fillId="36" borderId="28" xfId="0" applyNumberFormat="1" applyFont="1" applyFill="1" applyBorder="1" applyAlignment="1">
      <alignment horizontal="center"/>
    </xf>
    <xf numFmtId="49" fontId="23" fillId="36" borderId="28" xfId="0" applyNumberFormat="1" applyFont="1" applyFill="1" applyBorder="1" applyAlignment="1">
      <alignment horizontal="center"/>
    </xf>
    <xf numFmtId="49" fontId="24" fillId="36" borderId="29" xfId="0" applyNumberFormat="1" applyFont="1" applyFill="1" applyBorder="1" applyAlignment="1">
      <alignment horizontal="center"/>
    </xf>
    <xf numFmtId="49" fontId="24" fillId="36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9" fillId="36" borderId="29" xfId="0" applyFont="1" applyFill="1" applyBorder="1" applyAlignment="1">
      <alignment horizontal="center"/>
    </xf>
    <xf numFmtId="49" fontId="29" fillId="36" borderId="29" xfId="0" applyNumberFormat="1" applyFont="1" applyFill="1" applyBorder="1" applyAlignment="1">
      <alignment horizontal="center"/>
    </xf>
    <xf numFmtId="0" fontId="29" fillId="36" borderId="13" xfId="0" applyFont="1" applyFill="1" applyBorder="1" applyAlignment="1">
      <alignment horizontal="center"/>
    </xf>
    <xf numFmtId="49" fontId="29" fillId="36" borderId="13" xfId="0" applyNumberFormat="1" applyFont="1" applyFill="1" applyBorder="1" applyAlignment="1">
      <alignment horizontal="center"/>
    </xf>
    <xf numFmtId="0" fontId="24" fillId="7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14" borderId="14" xfId="0" applyFont="1" applyFill="1" applyBorder="1" applyAlignment="1">
      <alignment/>
    </xf>
    <xf numFmtId="0" fontId="24" fillId="14" borderId="19" xfId="0" applyFont="1" applyFill="1" applyBorder="1" applyAlignment="1">
      <alignment/>
    </xf>
    <xf numFmtId="49" fontId="31" fillId="35" borderId="31" xfId="0" applyNumberFormat="1" applyFont="1" applyFill="1" applyBorder="1" applyAlignment="1">
      <alignment horizontal="center"/>
    </xf>
    <xf numFmtId="49" fontId="27" fillId="35" borderId="29" xfId="0" applyNumberFormat="1" applyFont="1" applyFill="1" applyBorder="1" applyAlignment="1">
      <alignment horizontal="center"/>
    </xf>
    <xf numFmtId="49" fontId="40" fillId="49" borderId="26" xfId="0" applyNumberFormat="1" applyFont="1" applyFill="1" applyBorder="1" applyAlignment="1">
      <alignment horizontal="center"/>
    </xf>
    <xf numFmtId="0" fontId="24" fillId="36" borderId="32" xfId="0" applyFont="1" applyFill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24" fillId="36" borderId="22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49" fontId="31" fillId="35" borderId="15" xfId="0" applyNumberFormat="1" applyFont="1" applyFill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/>
    </xf>
    <xf numFmtId="49" fontId="47" fillId="0" borderId="15" xfId="0" applyNumberFormat="1" applyFont="1" applyFill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7" borderId="17" xfId="0" applyFont="1" applyFill="1" applyBorder="1" applyAlignment="1">
      <alignment/>
    </xf>
    <xf numFmtId="49" fontId="31" fillId="35" borderId="14" xfId="0" applyNumberFormat="1" applyFont="1" applyFill="1" applyBorder="1" applyAlignment="1">
      <alignment horizontal="center"/>
    </xf>
    <xf numFmtId="4" fontId="23" fillId="35" borderId="3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90" fontId="38" fillId="0" borderId="0" xfId="0" applyNumberFormat="1" applyFont="1" applyFill="1" applyBorder="1" applyAlignment="1">
      <alignment/>
    </xf>
    <xf numFmtId="190" fontId="34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7" fillId="0" borderId="0" xfId="0" applyFont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40" fillId="49" borderId="26" xfId="0" applyFont="1" applyFill="1" applyBorder="1" applyAlignment="1">
      <alignment horizontal="center"/>
    </xf>
    <xf numFmtId="0" fontId="24" fillId="50" borderId="35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4" fontId="24" fillId="50" borderId="34" xfId="0" applyNumberFormat="1" applyFont="1" applyFill="1" applyBorder="1" applyAlignment="1">
      <alignment horizontal="right"/>
    </xf>
    <xf numFmtId="4" fontId="24" fillId="0" borderId="34" xfId="0" applyNumberFormat="1" applyFont="1" applyFill="1" applyBorder="1" applyAlignment="1">
      <alignment horizontal="right"/>
    </xf>
    <xf numFmtId="0" fontId="26" fillId="36" borderId="16" xfId="0" applyFont="1" applyFill="1" applyBorder="1" applyAlignment="1">
      <alignment textRotation="90"/>
    </xf>
    <xf numFmtId="49" fontId="26" fillId="36" borderId="12" xfId="0" applyNumberFormat="1" applyFont="1" applyFill="1" applyBorder="1" applyAlignment="1">
      <alignment horizontal="center" textRotation="90"/>
    </xf>
    <xf numFmtId="49" fontId="26" fillId="36" borderId="13" xfId="0" applyNumberFormat="1" applyFont="1" applyFill="1" applyBorder="1" applyAlignment="1">
      <alignment horizontal="center" textRotation="90"/>
    </xf>
    <xf numFmtId="0" fontId="48" fillId="36" borderId="0" xfId="0" applyFont="1" applyFill="1" applyBorder="1" applyAlignment="1">
      <alignment/>
    </xf>
    <xf numFmtId="0" fontId="48" fillId="36" borderId="36" xfId="0" applyFont="1" applyFill="1" applyBorder="1" applyAlignment="1">
      <alignment/>
    </xf>
    <xf numFmtId="0" fontId="29" fillId="36" borderId="24" xfId="0" applyFont="1" applyFill="1" applyBorder="1" applyAlignment="1">
      <alignment textRotation="90"/>
    </xf>
    <xf numFmtId="49" fontId="29" fillId="36" borderId="36" xfId="0" applyNumberFormat="1" applyFont="1" applyFill="1" applyBorder="1" applyAlignment="1">
      <alignment horizontal="center" textRotation="90"/>
    </xf>
    <xf numFmtId="49" fontId="29" fillId="36" borderId="37" xfId="0" applyNumberFormat="1" applyFont="1" applyFill="1" applyBorder="1" applyAlignment="1">
      <alignment horizontal="center" textRotation="90"/>
    </xf>
    <xf numFmtId="0" fontId="49" fillId="0" borderId="0" xfId="0" applyFont="1" applyAlignment="1">
      <alignment/>
    </xf>
    <xf numFmtId="0" fontId="42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45" fillId="50" borderId="0" xfId="0" applyFont="1" applyFill="1" applyBorder="1" applyAlignment="1">
      <alignment/>
    </xf>
    <xf numFmtId="0" fontId="24" fillId="50" borderId="38" xfId="0" applyFont="1" applyFill="1" applyBorder="1" applyAlignment="1">
      <alignment/>
    </xf>
    <xf numFmtId="0" fontId="29" fillId="50" borderId="33" xfId="0" applyFont="1" applyFill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4" fontId="34" fillId="0" borderId="0" xfId="0" applyNumberFormat="1" applyFont="1" applyAlignment="1">
      <alignment/>
    </xf>
    <xf numFmtId="0" fontId="29" fillId="5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3" fontId="23" fillId="51" borderId="39" xfId="0" applyNumberFormat="1" applyFont="1" applyFill="1" applyBorder="1" applyAlignment="1">
      <alignment horizontal="center"/>
    </xf>
    <xf numFmtId="0" fontId="23" fillId="51" borderId="40" xfId="0" applyFont="1" applyFill="1" applyBorder="1" applyAlignment="1">
      <alignment horizontal="center"/>
    </xf>
    <xf numFmtId="49" fontId="23" fillId="51" borderId="40" xfId="0" applyNumberFormat="1" applyFont="1" applyFill="1" applyBorder="1" applyAlignment="1">
      <alignment horizontal="center"/>
    </xf>
    <xf numFmtId="0" fontId="40" fillId="36" borderId="27" xfId="0" applyFont="1" applyFill="1" applyBorder="1" applyAlignment="1">
      <alignment horizontal="center"/>
    </xf>
    <xf numFmtId="49" fontId="31" fillId="36" borderId="28" xfId="0" applyNumberFormat="1" applyFont="1" applyFill="1" applyBorder="1" applyAlignment="1">
      <alignment horizontal="center"/>
    </xf>
    <xf numFmtId="49" fontId="32" fillId="36" borderId="28" xfId="0" applyNumberFormat="1" applyFont="1" applyFill="1" applyBorder="1" applyAlignment="1">
      <alignment horizontal="center"/>
    </xf>
    <xf numFmtId="0" fontId="29" fillId="36" borderId="41" xfId="0" applyFont="1" applyFill="1" applyBorder="1" applyAlignment="1">
      <alignment/>
    </xf>
    <xf numFmtId="0" fontId="40" fillId="36" borderId="21" xfId="0" applyFont="1" applyFill="1" applyBorder="1" applyAlignment="1">
      <alignment horizontal="center"/>
    </xf>
    <xf numFmtId="49" fontId="29" fillId="36" borderId="42" xfId="0" applyNumberFormat="1" applyFont="1" applyFill="1" applyBorder="1" applyAlignment="1">
      <alignment horizontal="center"/>
    </xf>
    <xf numFmtId="0" fontId="29" fillId="36" borderId="42" xfId="0" applyFont="1" applyFill="1" applyBorder="1" applyAlignment="1">
      <alignment/>
    </xf>
    <xf numFmtId="0" fontId="40" fillId="36" borderId="25" xfId="0" applyFont="1" applyFill="1" applyBorder="1" applyAlignment="1">
      <alignment horizontal="center"/>
    </xf>
    <xf numFmtId="49" fontId="29" fillId="36" borderId="0" xfId="0" applyNumberFormat="1" applyFont="1" applyFill="1" applyBorder="1" applyAlignment="1">
      <alignment horizontal="center"/>
    </xf>
    <xf numFmtId="0" fontId="40" fillId="49" borderId="25" xfId="0" applyFont="1" applyFill="1" applyBorder="1" applyAlignment="1">
      <alignment horizontal="center"/>
    </xf>
    <xf numFmtId="0" fontId="32" fillId="7" borderId="43" xfId="0" applyFont="1" applyFill="1" applyBorder="1" applyAlignment="1">
      <alignment horizontal="left" vertical="center"/>
    </xf>
    <xf numFmtId="0" fontId="32" fillId="7" borderId="30" xfId="0" applyFont="1" applyFill="1" applyBorder="1" applyAlignment="1">
      <alignment vertical="center"/>
    </xf>
    <xf numFmtId="0" fontId="29" fillId="7" borderId="30" xfId="0" applyFont="1" applyFill="1" applyBorder="1" applyAlignment="1">
      <alignment/>
    </xf>
    <xf numFmtId="0" fontId="31" fillId="14" borderId="44" xfId="0" applyFont="1" applyFill="1" applyBorder="1" applyAlignment="1">
      <alignment horizontal="center"/>
    </xf>
    <xf numFmtId="0" fontId="29" fillId="14" borderId="14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4" fontId="29" fillId="0" borderId="45" xfId="0" applyNumberFormat="1" applyFont="1" applyFill="1" applyBorder="1" applyAlignment="1">
      <alignment horizontal="right"/>
    </xf>
    <xf numFmtId="0" fontId="31" fillId="14" borderId="15" xfId="0" applyFont="1" applyFill="1" applyBorder="1" applyAlignment="1">
      <alignment horizontal="center"/>
    </xf>
    <xf numFmtId="0" fontId="31" fillId="14" borderId="19" xfId="0" applyFont="1" applyFill="1" applyBorder="1" applyAlignment="1">
      <alignment/>
    </xf>
    <xf numFmtId="0" fontId="29" fillId="14" borderId="19" xfId="0" applyFont="1" applyFill="1" applyBorder="1" applyAlignment="1">
      <alignment/>
    </xf>
    <xf numFmtId="4" fontId="32" fillId="35" borderId="45" xfId="0" applyNumberFormat="1" applyFont="1" applyFill="1" applyBorder="1" applyAlignment="1">
      <alignment horizontal="right"/>
    </xf>
    <xf numFmtId="4" fontId="32" fillId="35" borderId="46" xfId="0" applyNumberFormat="1" applyFont="1" applyFill="1" applyBorder="1" applyAlignment="1">
      <alignment horizontal="right"/>
    </xf>
    <xf numFmtId="49" fontId="29" fillId="0" borderId="31" xfId="0" applyNumberFormat="1" applyFont="1" applyFill="1" applyBorder="1" applyAlignment="1">
      <alignment horizontal="center"/>
    </xf>
    <xf numFmtId="0" fontId="40" fillId="49" borderId="47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29" fillId="0" borderId="48" xfId="0" applyFont="1" applyBorder="1" applyAlignment="1">
      <alignment horizontal="center"/>
    </xf>
    <xf numFmtId="4" fontId="29" fillId="0" borderId="49" xfId="0" applyNumberFormat="1" applyFont="1" applyFill="1" applyBorder="1" applyAlignment="1">
      <alignment horizontal="right"/>
    </xf>
    <xf numFmtId="0" fontId="40" fillId="49" borderId="21" xfId="0" applyFont="1" applyFill="1" applyBorder="1" applyAlignment="1">
      <alignment horizontal="center"/>
    </xf>
    <xf numFmtId="49" fontId="47" fillId="0" borderId="50" xfId="0" applyNumberFormat="1" applyFont="1" applyFill="1" applyBorder="1" applyAlignment="1">
      <alignment horizontal="center"/>
    </xf>
    <xf numFmtId="0" fontId="29" fillId="18" borderId="14" xfId="0" applyFont="1" applyFill="1" applyBorder="1" applyAlignment="1">
      <alignment/>
    </xf>
    <xf numFmtId="49" fontId="32" fillId="35" borderId="15" xfId="0" applyNumberFormat="1" applyFont="1" applyFill="1" applyBorder="1" applyAlignment="1">
      <alignment horizontal="left"/>
    </xf>
    <xf numFmtId="0" fontId="32" fillId="35" borderId="19" xfId="0" applyFont="1" applyFill="1" applyBorder="1" applyAlignment="1">
      <alignment/>
    </xf>
    <xf numFmtId="0" fontId="29" fillId="50" borderId="0" xfId="0" applyFont="1" applyFill="1" applyBorder="1" applyAlignment="1">
      <alignment/>
    </xf>
    <xf numFmtId="0" fontId="29" fillId="0" borderId="35" xfId="0" applyFont="1" applyFill="1" applyBorder="1" applyAlignment="1">
      <alignment/>
    </xf>
    <xf numFmtId="4" fontId="31" fillId="7" borderId="51" xfId="0" applyNumberFormat="1" applyFont="1" applyFill="1" applyBorder="1" applyAlignment="1">
      <alignment/>
    </xf>
    <xf numFmtId="49" fontId="32" fillId="35" borderId="12" xfId="0" applyNumberFormat="1" applyFont="1" applyFill="1" applyBorder="1" applyAlignment="1">
      <alignment horizontal="left"/>
    </xf>
    <xf numFmtId="4" fontId="32" fillId="35" borderId="20" xfId="0" applyNumberFormat="1" applyFont="1" applyFill="1" applyBorder="1" applyAlignment="1">
      <alignment horizontal="right"/>
    </xf>
    <xf numFmtId="4" fontId="29" fillId="0" borderId="20" xfId="0" applyNumberFormat="1" applyFont="1" applyFill="1" applyBorder="1" applyAlignment="1">
      <alignment horizontal="right"/>
    </xf>
    <xf numFmtId="4" fontId="32" fillId="14" borderId="20" xfId="0" applyNumberFormat="1" applyFont="1" applyFill="1" applyBorder="1" applyAlignment="1">
      <alignment/>
    </xf>
    <xf numFmtId="0" fontId="31" fillId="14" borderId="33" xfId="0" applyFont="1" applyFill="1" applyBorder="1" applyAlignment="1">
      <alignment horizontal="center"/>
    </xf>
    <xf numFmtId="49" fontId="31" fillId="14" borderId="14" xfId="0" applyNumberFormat="1" applyFont="1" applyFill="1" applyBorder="1" applyAlignment="1">
      <alignment horizontal="left"/>
    </xf>
    <xf numFmtId="4" fontId="32" fillId="14" borderId="23" xfId="0" applyNumberFormat="1" applyFont="1" applyFill="1" applyBorder="1" applyAlignment="1">
      <alignment horizontal="right"/>
    </xf>
    <xf numFmtId="49" fontId="32" fillId="35" borderId="44" xfId="0" applyNumberFormat="1" applyFont="1" applyFill="1" applyBorder="1" applyAlignment="1">
      <alignment horizontal="left"/>
    </xf>
    <xf numFmtId="0" fontId="29" fillId="35" borderId="14" xfId="0" applyFont="1" applyFill="1" applyBorder="1" applyAlignment="1">
      <alignment/>
    </xf>
    <xf numFmtId="49" fontId="29" fillId="0" borderId="29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/>
    </xf>
    <xf numFmtId="0" fontId="29" fillId="50" borderId="0" xfId="0" applyFont="1" applyFill="1" applyBorder="1" applyAlignment="1">
      <alignment horizontal="center"/>
    </xf>
    <xf numFmtId="49" fontId="29" fillId="5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right"/>
    </xf>
    <xf numFmtId="49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90" fontId="34" fillId="0" borderId="0" xfId="0" applyNumberFormat="1" applyFont="1" applyFill="1" applyBorder="1" applyAlignment="1">
      <alignment/>
    </xf>
    <xf numFmtId="4" fontId="31" fillId="7" borderId="52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right"/>
    </xf>
    <xf numFmtId="0" fontId="40" fillId="5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4" fontId="29" fillId="0" borderId="53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49" fontId="40" fillId="0" borderId="0" xfId="0" applyNumberFormat="1" applyFont="1" applyAlignment="1">
      <alignment/>
    </xf>
    <xf numFmtId="3" fontId="23" fillId="51" borderId="39" xfId="0" applyNumberFormat="1" applyFont="1" applyFill="1" applyBorder="1" applyAlignment="1">
      <alignment horizontal="center"/>
    </xf>
    <xf numFmtId="3" fontId="23" fillId="23" borderId="39" xfId="0" applyNumberFormat="1" applyFont="1" applyFill="1" applyBorder="1" applyAlignment="1">
      <alignment horizontal="center"/>
    </xf>
    <xf numFmtId="0" fontId="23" fillId="23" borderId="40" xfId="0" applyFont="1" applyFill="1" applyBorder="1" applyAlignment="1">
      <alignment horizontal="center"/>
    </xf>
    <xf numFmtId="49" fontId="23" fillId="23" borderId="40" xfId="0" applyNumberFormat="1" applyFont="1" applyFill="1" applyBorder="1" applyAlignment="1">
      <alignment horizontal="center"/>
    </xf>
    <xf numFmtId="0" fontId="36" fillId="23" borderId="40" xfId="0" applyFont="1" applyFill="1" applyBorder="1" applyAlignment="1">
      <alignment horizontal="center"/>
    </xf>
    <xf numFmtId="49" fontId="36" fillId="51" borderId="40" xfId="0" applyNumberFormat="1" applyFont="1" applyFill="1" applyBorder="1" applyAlignment="1">
      <alignment horizontal="center"/>
    </xf>
    <xf numFmtId="4" fontId="24" fillId="0" borderId="54" xfId="0" applyNumberFormat="1" applyFont="1" applyFill="1" applyBorder="1" applyAlignment="1">
      <alignment horizontal="right"/>
    </xf>
    <xf numFmtId="49" fontId="23" fillId="23" borderId="52" xfId="0" applyNumberFormat="1" applyFont="1" applyFill="1" applyBorder="1" applyAlignment="1">
      <alignment horizontal="center"/>
    </xf>
    <xf numFmtId="49" fontId="23" fillId="51" borderId="52" xfId="0" applyNumberFormat="1" applyFont="1" applyFill="1" applyBorder="1" applyAlignment="1">
      <alignment horizontal="center"/>
    </xf>
    <xf numFmtId="3" fontId="32" fillId="23" borderId="39" xfId="0" applyNumberFormat="1" applyFont="1" applyFill="1" applyBorder="1" applyAlignment="1">
      <alignment horizontal="center"/>
    </xf>
    <xf numFmtId="49" fontId="25" fillId="36" borderId="22" xfId="0" applyNumberFormat="1" applyFont="1" applyFill="1" applyBorder="1" applyAlignment="1">
      <alignment horizontal="center"/>
    </xf>
    <xf numFmtId="49" fontId="25" fillId="36" borderId="37" xfId="0" applyNumberFormat="1" applyFont="1" applyFill="1" applyBorder="1" applyAlignment="1">
      <alignment horizontal="center"/>
    </xf>
    <xf numFmtId="0" fontId="24" fillId="36" borderId="51" xfId="0" applyFont="1" applyFill="1" applyBorder="1" applyAlignment="1">
      <alignment horizontal="center"/>
    </xf>
    <xf numFmtId="0" fontId="70" fillId="0" borderId="0" xfId="0" applyFont="1" applyAlignment="1">
      <alignment/>
    </xf>
    <xf numFmtId="49" fontId="29" fillId="36" borderId="22" xfId="0" applyNumberFormat="1" applyFont="1" applyFill="1" applyBorder="1" applyAlignment="1">
      <alignment horizontal="center"/>
    </xf>
    <xf numFmtId="0" fontId="29" fillId="36" borderId="0" xfId="0" applyFont="1" applyFill="1" applyBorder="1" applyAlignment="1">
      <alignment horizontal="center"/>
    </xf>
    <xf numFmtId="49" fontId="29" fillId="36" borderId="37" xfId="0" applyNumberFormat="1" applyFont="1" applyFill="1" applyBorder="1" applyAlignment="1">
      <alignment horizontal="center"/>
    </xf>
    <xf numFmtId="0" fontId="24" fillId="50" borderId="14" xfId="0" applyFont="1" applyFill="1" applyBorder="1" applyAlignment="1">
      <alignment vertical="center"/>
    </xf>
    <xf numFmtId="0" fontId="24" fillId="50" borderId="14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34" fillId="49" borderId="25" xfId="0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left" vertical="center"/>
    </xf>
    <xf numFmtId="0" fontId="23" fillId="7" borderId="17" xfId="0" applyFont="1" applyFill="1" applyBorder="1" applyAlignment="1">
      <alignment vertical="center"/>
    </xf>
    <xf numFmtId="0" fontId="24" fillId="7" borderId="30" xfId="0" applyFont="1" applyFill="1" applyBorder="1" applyAlignment="1">
      <alignment vertical="center"/>
    </xf>
    <xf numFmtId="4" fontId="27" fillId="7" borderId="55" xfId="0" applyNumberFormat="1" applyFont="1" applyFill="1" applyBorder="1" applyAlignment="1">
      <alignment vertical="center"/>
    </xf>
    <xf numFmtId="0" fontId="34" fillId="49" borderId="26" xfId="0" applyFont="1" applyFill="1" applyBorder="1" applyAlignment="1">
      <alignment horizontal="center" vertical="center"/>
    </xf>
    <xf numFmtId="0" fontId="27" fillId="14" borderId="44" xfId="0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vertical="center"/>
    </xf>
    <xf numFmtId="0" fontId="24" fillId="14" borderId="14" xfId="0" applyFont="1" applyFill="1" applyBorder="1" applyAlignment="1">
      <alignment vertical="center"/>
    </xf>
    <xf numFmtId="4" fontId="23" fillId="14" borderId="46" xfId="0" applyNumberFormat="1" applyFont="1" applyFill="1" applyBorder="1" applyAlignment="1">
      <alignment vertical="center"/>
    </xf>
    <xf numFmtId="49" fontId="27" fillId="35" borderId="15" xfId="0" applyNumberFormat="1" applyFont="1" applyFill="1" applyBorder="1" applyAlignment="1">
      <alignment horizontal="center" vertical="center"/>
    </xf>
    <xf numFmtId="49" fontId="27" fillId="35" borderId="13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vertical="center"/>
    </xf>
    <xf numFmtId="4" fontId="23" fillId="35" borderId="34" xfId="0" applyNumberFormat="1" applyFont="1" applyFill="1" applyBorder="1" applyAlignment="1">
      <alignment horizontal="right" vertical="center"/>
    </xf>
    <xf numFmtId="0" fontId="24" fillId="0" borderId="33" xfId="0" applyFont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4" fontId="24" fillId="0" borderId="45" xfId="0" applyNumberFormat="1" applyFont="1" applyFill="1" applyBorder="1" applyAlignment="1">
      <alignment horizontal="right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7" fillId="14" borderId="15" xfId="0" applyFont="1" applyFill="1" applyBorder="1" applyAlignment="1">
      <alignment horizontal="center" vertical="center"/>
    </xf>
    <xf numFmtId="0" fontId="27" fillId="14" borderId="19" xfId="0" applyFont="1" applyFill="1" applyBorder="1" applyAlignment="1">
      <alignment vertical="center"/>
    </xf>
    <xf numFmtId="0" fontId="24" fillId="14" borderId="19" xfId="0" applyFont="1" applyFill="1" applyBorder="1" applyAlignment="1">
      <alignment vertical="center"/>
    </xf>
    <xf numFmtId="4" fontId="23" fillId="14" borderId="45" xfId="0" applyNumberFormat="1" applyFont="1" applyFill="1" applyBorder="1" applyAlignment="1">
      <alignment vertical="center"/>
    </xf>
    <xf numFmtId="49" fontId="27" fillId="35" borderId="13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4" fontId="24" fillId="0" borderId="46" xfId="0" applyNumberFormat="1" applyFont="1" applyFill="1" applyBorder="1" applyAlignment="1">
      <alignment horizontal="right" vertical="center"/>
    </xf>
    <xf numFmtId="0" fontId="27" fillId="14" borderId="0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4" fontId="23" fillId="14" borderId="40" xfId="0" applyNumberFormat="1" applyFont="1" applyFill="1" applyBorder="1" applyAlignment="1">
      <alignment vertical="center"/>
    </xf>
    <xf numFmtId="49" fontId="27" fillId="35" borderId="44" xfId="0" applyNumberFormat="1" applyFont="1" applyFill="1" applyBorder="1" applyAlignment="1">
      <alignment horizontal="center" vertical="center"/>
    </xf>
    <xf numFmtId="49" fontId="27" fillId="35" borderId="31" xfId="0" applyNumberFormat="1" applyFont="1" applyFill="1" applyBorder="1" applyAlignment="1">
      <alignment horizontal="left" vertical="center"/>
    </xf>
    <xf numFmtId="0" fontId="23" fillId="35" borderId="35" xfId="0" applyFont="1" applyFill="1" applyBorder="1" applyAlignment="1">
      <alignment vertical="center"/>
    </xf>
    <xf numFmtId="4" fontId="23" fillId="35" borderId="45" xfId="0" applyNumberFormat="1" applyFont="1" applyFill="1" applyBorder="1" applyAlignment="1">
      <alignment horizontal="right" vertical="center"/>
    </xf>
    <xf numFmtId="49" fontId="30" fillId="0" borderId="33" xfId="0" applyNumberFormat="1" applyFont="1" applyFill="1" applyBorder="1" applyAlignment="1">
      <alignment horizontal="center" vertical="center"/>
    </xf>
    <xf numFmtId="0" fontId="24" fillId="50" borderId="19" xfId="0" applyFont="1" applyFill="1" applyBorder="1" applyAlignment="1">
      <alignment vertical="center"/>
    </xf>
    <xf numFmtId="49" fontId="30" fillId="0" borderId="15" xfId="0" applyNumberFormat="1" applyFont="1" applyFill="1" applyBorder="1" applyAlignment="1">
      <alignment horizontal="center" vertical="center"/>
    </xf>
    <xf numFmtId="49" fontId="27" fillId="35" borderId="29" xfId="0" applyNumberFormat="1" applyFont="1" applyFill="1" applyBorder="1" applyAlignment="1">
      <alignment horizontal="left" vertical="center"/>
    </xf>
    <xf numFmtId="49" fontId="27" fillId="35" borderId="33" xfId="0" applyNumberFormat="1" applyFont="1" applyFill="1" applyBorder="1" applyAlignment="1">
      <alignment horizontal="center" vertical="center"/>
    </xf>
    <xf numFmtId="49" fontId="27" fillId="35" borderId="33" xfId="0" applyNumberFormat="1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vertical="center"/>
    </xf>
    <xf numFmtId="49" fontId="30" fillId="0" borderId="44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" fontId="34" fillId="49" borderId="26" xfId="0" applyNumberFormat="1" applyFont="1" applyFill="1" applyBorder="1" applyAlignment="1">
      <alignment horizontal="center" vertical="center"/>
    </xf>
    <xf numFmtId="0" fontId="24" fillId="50" borderId="35" xfId="0" applyFont="1" applyFill="1" applyBorder="1" applyAlignment="1">
      <alignment vertical="center"/>
    </xf>
    <xf numFmtId="4" fontId="23" fillId="14" borderId="34" xfId="0" applyNumberFormat="1" applyFont="1" applyFill="1" applyBorder="1" applyAlignment="1">
      <alignment vertical="center"/>
    </xf>
    <xf numFmtId="4" fontId="24" fillId="0" borderId="40" xfId="0" applyNumberFormat="1" applyFont="1" applyFill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4" fontId="24" fillId="0" borderId="34" xfId="0" applyNumberFormat="1" applyFont="1" applyFill="1" applyBorder="1" applyAlignment="1">
      <alignment horizontal="right" vertical="center"/>
    </xf>
    <xf numFmtId="0" fontId="34" fillId="49" borderId="47" xfId="0" applyFont="1" applyFill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49" fontId="30" fillId="0" borderId="50" xfId="0" applyNumberFormat="1" applyFont="1" applyFill="1" applyBorder="1" applyAlignment="1">
      <alignment horizontal="center" vertical="center"/>
    </xf>
    <xf numFmtId="4" fontId="24" fillId="0" borderId="54" xfId="0" applyNumberFormat="1" applyFont="1" applyFill="1" applyBorder="1" applyAlignment="1">
      <alignment horizontal="right" vertical="center"/>
    </xf>
    <xf numFmtId="0" fontId="34" fillId="51" borderId="26" xfId="0" applyFont="1" applyFill="1" applyBorder="1" applyAlignment="1">
      <alignment horizontal="center"/>
    </xf>
    <xf numFmtId="1" fontId="34" fillId="49" borderId="26" xfId="0" applyNumberFormat="1" applyFont="1" applyFill="1" applyBorder="1" applyAlignment="1">
      <alignment horizontal="center"/>
    </xf>
    <xf numFmtId="0" fontId="23" fillId="7" borderId="56" xfId="0" applyFont="1" applyFill="1" applyBorder="1" applyAlignment="1">
      <alignment horizontal="left" vertical="center"/>
    </xf>
    <xf numFmtId="0" fontId="24" fillId="7" borderId="17" xfId="0" applyFont="1" applyFill="1" applyBorder="1" applyAlignment="1">
      <alignment vertical="center"/>
    </xf>
    <xf numFmtId="0" fontId="23" fillId="35" borderId="15" xfId="0" applyFont="1" applyFill="1" applyBorder="1" applyAlignment="1">
      <alignment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49" fontId="30" fillId="0" borderId="29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/>
    </xf>
    <xf numFmtId="49" fontId="24" fillId="0" borderId="50" xfId="0" applyNumberFormat="1" applyFont="1" applyFill="1" applyBorder="1" applyAlignment="1">
      <alignment horizontal="center" vertical="center"/>
    </xf>
    <xf numFmtId="0" fontId="24" fillId="50" borderId="38" xfId="0" applyFont="1" applyFill="1" applyBorder="1" applyAlignment="1">
      <alignment vertical="center"/>
    </xf>
    <xf numFmtId="0" fontId="23" fillId="7" borderId="30" xfId="0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/>
    </xf>
    <xf numFmtId="0" fontId="27" fillId="14" borderId="15" xfId="0" applyFont="1" applyFill="1" applyBorder="1" applyAlignment="1">
      <alignment horizontal="center"/>
    </xf>
    <xf numFmtId="0" fontId="27" fillId="14" borderId="19" xfId="0" applyFont="1" applyFill="1" applyBorder="1" applyAlignment="1">
      <alignment/>
    </xf>
    <xf numFmtId="4" fontId="23" fillId="14" borderId="34" xfId="0" applyNumberFormat="1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23" fillId="35" borderId="35" xfId="0" applyFont="1" applyFill="1" applyBorder="1" applyAlignment="1">
      <alignment/>
    </xf>
    <xf numFmtId="4" fontId="23" fillId="14" borderId="45" xfId="0" applyNumberFormat="1" applyFont="1" applyFill="1" applyBorder="1" applyAlignment="1">
      <alignment/>
    </xf>
    <xf numFmtId="0" fontId="27" fillId="14" borderId="14" xfId="0" applyFont="1" applyFill="1" applyBorder="1" applyAlignment="1">
      <alignment/>
    </xf>
    <xf numFmtId="4" fontId="23" fillId="14" borderId="40" xfId="0" applyNumberFormat="1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34" fillId="49" borderId="47" xfId="0" applyFont="1" applyFill="1" applyBorder="1" applyAlignment="1">
      <alignment horizontal="center"/>
    </xf>
    <xf numFmtId="0" fontId="24" fillId="0" borderId="38" xfId="0" applyFont="1" applyFill="1" applyBorder="1" applyAlignment="1">
      <alignment/>
    </xf>
    <xf numFmtId="0" fontId="27" fillId="35" borderId="15" xfId="0" applyFont="1" applyFill="1" applyBorder="1" applyAlignment="1">
      <alignment/>
    </xf>
    <xf numFmtId="0" fontId="27" fillId="14" borderId="44" xfId="0" applyFont="1" applyFill="1" applyBorder="1" applyAlignment="1">
      <alignment horizontal="center"/>
    </xf>
    <xf numFmtId="0" fontId="29" fillId="36" borderId="28" xfId="0" applyFont="1" applyFill="1" applyBorder="1" applyAlignment="1">
      <alignment/>
    </xf>
    <xf numFmtId="0" fontId="40" fillId="52" borderId="57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32" fillId="52" borderId="56" xfId="0" applyFont="1" applyFill="1" applyBorder="1" applyAlignment="1">
      <alignment horizontal="center"/>
    </xf>
    <xf numFmtId="4" fontId="24" fillId="0" borderId="45" xfId="0" applyNumberFormat="1" applyFont="1" applyFill="1" applyBorder="1" applyAlignment="1">
      <alignment/>
    </xf>
    <xf numFmtId="4" fontId="23" fillId="35" borderId="45" xfId="0" applyNumberFormat="1" applyFont="1" applyFill="1" applyBorder="1" applyAlignment="1">
      <alignment/>
    </xf>
    <xf numFmtId="0" fontId="24" fillId="50" borderId="48" xfId="0" applyFont="1" applyFill="1" applyBorder="1" applyAlignment="1">
      <alignment horizontal="center"/>
    </xf>
    <xf numFmtId="49" fontId="30" fillId="50" borderId="50" xfId="0" applyNumberFormat="1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49" fontId="47" fillId="0" borderId="29" xfId="0" applyNumberFormat="1" applyFont="1" applyFill="1" applyBorder="1" applyAlignment="1">
      <alignment horizontal="center"/>
    </xf>
    <xf numFmtId="49" fontId="47" fillId="50" borderId="15" xfId="0" applyNumberFormat="1" applyFont="1" applyFill="1" applyBorder="1" applyAlignment="1">
      <alignment horizontal="center"/>
    </xf>
    <xf numFmtId="49" fontId="47" fillId="0" borderId="22" xfId="0" applyNumberFormat="1" applyFont="1" applyFill="1" applyBorder="1" applyAlignment="1">
      <alignment horizontal="center"/>
    </xf>
    <xf numFmtId="4" fontId="23" fillId="7" borderId="30" xfId="0" applyNumberFormat="1" applyFont="1" applyFill="1" applyBorder="1" applyAlignment="1">
      <alignment horizontal="left" vertical="center"/>
    </xf>
    <xf numFmtId="4" fontId="23" fillId="7" borderId="30" xfId="0" applyNumberFormat="1" applyFont="1" applyFill="1" applyBorder="1" applyAlignment="1">
      <alignment vertical="center"/>
    </xf>
    <xf numFmtId="4" fontId="27" fillId="14" borderId="19" xfId="0" applyNumberFormat="1" applyFont="1" applyFill="1" applyBorder="1" applyAlignment="1">
      <alignment vertical="center"/>
    </xf>
    <xf numFmtId="4" fontId="27" fillId="35" borderId="31" xfId="0" applyNumberFormat="1" applyFont="1" applyFill="1" applyBorder="1" applyAlignment="1">
      <alignment horizontal="center" vertical="center"/>
    </xf>
    <xf numFmtId="4" fontId="23" fillId="35" borderId="15" xfId="0" applyNumberFormat="1" applyFont="1" applyFill="1" applyBorder="1" applyAlignment="1">
      <alignment vertical="center"/>
    </xf>
    <xf numFmtId="4" fontId="24" fillId="50" borderId="33" xfId="0" applyNumberFormat="1" applyFont="1" applyFill="1" applyBorder="1" applyAlignment="1">
      <alignment horizontal="center" vertical="center"/>
    </xf>
    <xf numFmtId="4" fontId="24" fillId="50" borderId="34" xfId="0" applyNumberFormat="1" applyFont="1" applyFill="1" applyBorder="1" applyAlignment="1">
      <alignment horizontal="right" vertical="center"/>
    </xf>
    <xf numFmtId="4" fontId="24" fillId="0" borderId="33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/>
    </xf>
    <xf numFmtId="4" fontId="24" fillId="50" borderId="54" xfId="0" applyNumberFormat="1" applyFont="1" applyFill="1" applyBorder="1" applyAlignment="1">
      <alignment horizontal="right" vertical="center"/>
    </xf>
    <xf numFmtId="4" fontId="23" fillId="14" borderId="34" xfId="0" applyNumberFormat="1" applyFont="1" applyFill="1" applyBorder="1" applyAlignment="1">
      <alignment horizontal="right" vertical="center"/>
    </xf>
    <xf numFmtId="3" fontId="40" fillId="49" borderId="26" xfId="0" applyNumberFormat="1" applyFont="1" applyFill="1" applyBorder="1" applyAlignment="1">
      <alignment horizontal="center" vertical="center"/>
    </xf>
    <xf numFmtId="3" fontId="40" fillId="49" borderId="21" xfId="0" applyNumberFormat="1" applyFont="1" applyFill="1" applyBorder="1" applyAlignment="1">
      <alignment horizontal="center" vertical="center"/>
    </xf>
    <xf numFmtId="3" fontId="40" fillId="49" borderId="47" xfId="0" applyNumberFormat="1" applyFont="1" applyFill="1" applyBorder="1" applyAlignment="1">
      <alignment horizontal="center" vertical="center"/>
    </xf>
    <xf numFmtId="49" fontId="27" fillId="14" borderId="15" xfId="0" applyNumberFormat="1" applyFont="1" applyFill="1" applyBorder="1" applyAlignment="1">
      <alignment horizontal="center" vertical="center"/>
    </xf>
    <xf numFmtId="0" fontId="26" fillId="36" borderId="29" xfId="0" applyFont="1" applyFill="1" applyBorder="1" applyAlignment="1">
      <alignment horizontal="center"/>
    </xf>
    <xf numFmtId="49" fontId="26" fillId="36" borderId="29" xfId="0" applyNumberFormat="1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3" fontId="47" fillId="50" borderId="29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/>
    </xf>
    <xf numFmtId="0" fontId="24" fillId="36" borderId="19" xfId="0" applyFont="1" applyFill="1" applyBorder="1" applyAlignment="1">
      <alignment/>
    </xf>
    <xf numFmtId="4" fontId="27" fillId="7" borderId="52" xfId="0" applyNumberFormat="1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center"/>
    </xf>
    <xf numFmtId="0" fontId="40" fillId="49" borderId="25" xfId="0" applyFont="1" applyFill="1" applyBorder="1" applyAlignment="1">
      <alignment horizontal="center" vertical="center"/>
    </xf>
    <xf numFmtId="0" fontId="40" fillId="49" borderId="26" xfId="0" applyFont="1" applyFill="1" applyBorder="1" applyAlignment="1">
      <alignment horizontal="center" vertical="center"/>
    </xf>
    <xf numFmtId="0" fontId="31" fillId="14" borderId="44" xfId="0" applyFont="1" applyFill="1" applyBorder="1" applyAlignment="1">
      <alignment horizontal="center" vertical="center"/>
    </xf>
    <xf numFmtId="49" fontId="31" fillId="35" borderId="31" xfId="0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0" fontId="31" fillId="14" borderId="15" xfId="0" applyFont="1" applyFill="1" applyBorder="1" applyAlignment="1">
      <alignment horizontal="center" vertical="center"/>
    </xf>
    <xf numFmtId="49" fontId="31" fillId="35" borderId="19" xfId="0" applyNumberFormat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2" fillId="36" borderId="0" xfId="0" applyFont="1" applyFill="1" applyBorder="1" applyAlignment="1">
      <alignment horizontal="center"/>
    </xf>
    <xf numFmtId="0" fontId="40" fillId="49" borderId="47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4" fontId="27" fillId="7" borderId="52" xfId="0" applyNumberFormat="1" applyFont="1" applyFill="1" applyBorder="1" applyAlignment="1">
      <alignment vertical="center"/>
    </xf>
    <xf numFmtId="49" fontId="29" fillId="0" borderId="58" xfId="0" applyNumberFormat="1" applyFont="1" applyFill="1" applyBorder="1" applyAlignment="1">
      <alignment horizontal="center"/>
    </xf>
    <xf numFmtId="0" fontId="40" fillId="11" borderId="19" xfId="0" applyFont="1" applyFill="1" applyBorder="1" applyAlignment="1">
      <alignment/>
    </xf>
    <xf numFmtId="4" fontId="27" fillId="7" borderId="59" xfId="0" applyNumberFormat="1" applyFont="1" applyFill="1" applyBorder="1" applyAlignment="1">
      <alignment/>
    </xf>
    <xf numFmtId="4" fontId="23" fillId="14" borderId="60" xfId="0" applyNumberFormat="1" applyFont="1" applyFill="1" applyBorder="1" applyAlignment="1">
      <alignment/>
    </xf>
    <xf numFmtId="4" fontId="23" fillId="35" borderId="61" xfId="0" applyNumberFormat="1" applyFont="1" applyFill="1" applyBorder="1" applyAlignment="1">
      <alignment horizontal="right"/>
    </xf>
    <xf numFmtId="4" fontId="24" fillId="0" borderId="32" xfId="0" applyNumberFormat="1" applyFont="1" applyFill="1" applyBorder="1" applyAlignment="1">
      <alignment horizontal="right"/>
    </xf>
    <xf numFmtId="4" fontId="24" fillId="0" borderId="61" xfId="0" applyNumberFormat="1" applyFont="1" applyFill="1" applyBorder="1" applyAlignment="1">
      <alignment horizontal="right"/>
    </xf>
    <xf numFmtId="4" fontId="24" fillId="0" borderId="62" xfId="0" applyNumberFormat="1" applyFont="1" applyFill="1" applyBorder="1" applyAlignment="1">
      <alignment horizontal="right"/>
    </xf>
    <xf numFmtId="0" fontId="23" fillId="35" borderId="15" xfId="0" applyFont="1" applyFill="1" applyBorder="1" applyAlignment="1">
      <alignment/>
    </xf>
    <xf numFmtId="4" fontId="31" fillId="7" borderId="55" xfId="0" applyNumberFormat="1" applyFont="1" applyFill="1" applyBorder="1" applyAlignment="1">
      <alignment vertical="center"/>
    </xf>
    <xf numFmtId="4" fontId="32" fillId="14" borderId="40" xfId="0" applyNumberFormat="1" applyFont="1" applyFill="1" applyBorder="1" applyAlignment="1">
      <alignment vertical="center"/>
    </xf>
    <xf numFmtId="4" fontId="29" fillId="0" borderId="63" xfId="0" applyNumberFormat="1" applyFont="1" applyFill="1" applyBorder="1" applyAlignment="1">
      <alignment horizontal="right" vertical="center"/>
    </xf>
    <xf numFmtId="4" fontId="29" fillId="0" borderId="45" xfId="0" applyNumberFormat="1" applyFont="1" applyFill="1" applyBorder="1" applyAlignment="1">
      <alignment horizontal="right" vertical="center"/>
    </xf>
    <xf numFmtId="4" fontId="29" fillId="0" borderId="54" xfId="0" applyNumberFormat="1" applyFont="1" applyFill="1" applyBorder="1" applyAlignment="1">
      <alignment horizontal="right" vertical="center"/>
    </xf>
    <xf numFmtId="4" fontId="29" fillId="0" borderId="46" xfId="0" applyNumberFormat="1" applyFont="1" applyFill="1" applyBorder="1" applyAlignment="1">
      <alignment horizontal="right" vertical="center"/>
    </xf>
    <xf numFmtId="4" fontId="32" fillId="14" borderId="45" xfId="0" applyNumberFormat="1" applyFont="1" applyFill="1" applyBorder="1" applyAlignment="1">
      <alignment vertical="center"/>
    </xf>
    <xf numFmtId="4" fontId="29" fillId="0" borderId="39" xfId="0" applyNumberFormat="1" applyFont="1" applyFill="1" applyBorder="1" applyAlignment="1">
      <alignment horizontal="right" vertical="center"/>
    </xf>
    <xf numFmtId="0" fontId="61" fillId="36" borderId="27" xfId="0" applyFont="1" applyFill="1" applyBorder="1" applyAlignment="1">
      <alignment horizontal="center" vertical="center"/>
    </xf>
    <xf numFmtId="49" fontId="62" fillId="36" borderId="28" xfId="0" applyNumberFormat="1" applyFont="1" applyFill="1" applyBorder="1" applyAlignment="1">
      <alignment horizontal="center" vertical="center"/>
    </xf>
    <xf numFmtId="49" fontId="63" fillId="36" borderId="28" xfId="0" applyNumberFormat="1" applyFont="1" applyFill="1" applyBorder="1" applyAlignment="1">
      <alignment horizontal="center" vertical="center"/>
    </xf>
    <xf numFmtId="0" fontId="61" fillId="36" borderId="21" xfId="0" applyFont="1" applyFill="1" applyBorder="1" applyAlignment="1">
      <alignment horizontal="center" vertical="center"/>
    </xf>
    <xf numFmtId="0" fontId="44" fillId="36" borderId="29" xfId="0" applyFont="1" applyFill="1" applyBorder="1" applyAlignment="1">
      <alignment horizontal="center" vertical="center"/>
    </xf>
    <xf numFmtId="49" fontId="44" fillId="36" borderId="29" xfId="0" applyNumberFormat="1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49" fontId="44" fillId="36" borderId="13" xfId="0" applyNumberFormat="1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vertical="center"/>
    </xf>
    <xf numFmtId="0" fontId="31" fillId="14" borderId="14" xfId="0" applyFont="1" applyFill="1" applyBorder="1" applyAlignment="1">
      <alignment vertical="center"/>
    </xf>
    <xf numFmtId="0" fontId="29" fillId="14" borderId="14" xfId="0" applyFont="1" applyFill="1" applyBorder="1" applyAlignment="1">
      <alignment vertical="center"/>
    </xf>
    <xf numFmtId="49" fontId="31" fillId="35" borderId="13" xfId="0" applyNumberFormat="1" applyFont="1" applyFill="1" applyBorder="1" applyAlignment="1">
      <alignment horizontal="center" vertical="center"/>
    </xf>
    <xf numFmtId="0" fontId="29" fillId="50" borderId="14" xfId="0" applyFont="1" applyFill="1" applyBorder="1" applyAlignment="1">
      <alignment vertical="center"/>
    </xf>
    <xf numFmtId="0" fontId="29" fillId="50" borderId="64" xfId="0" applyFont="1" applyFill="1" applyBorder="1" applyAlignment="1">
      <alignment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0" fontId="31" fillId="14" borderId="19" xfId="0" applyFont="1" applyFill="1" applyBorder="1" applyAlignment="1">
      <alignment vertical="center"/>
    </xf>
    <xf numFmtId="0" fontId="29" fillId="14" borderId="19" xfId="0" applyFont="1" applyFill="1" applyBorder="1" applyAlignment="1">
      <alignment vertical="center"/>
    </xf>
    <xf numFmtId="49" fontId="31" fillId="35" borderId="29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29" fillId="50" borderId="64" xfId="0" applyFont="1" applyFill="1" applyBorder="1" applyAlignment="1">
      <alignment vertical="center"/>
    </xf>
    <xf numFmtId="0" fontId="29" fillId="50" borderId="19" xfId="0" applyFont="1" applyFill="1" applyBorder="1" applyAlignment="1">
      <alignment vertical="center"/>
    </xf>
    <xf numFmtId="49" fontId="31" fillId="35" borderId="15" xfId="0" applyNumberFormat="1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31" fillId="0" borderId="65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66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center" vertical="center"/>
    </xf>
    <xf numFmtId="0" fontId="29" fillId="50" borderId="33" xfId="0" applyFont="1" applyFill="1" applyBorder="1" applyAlignment="1">
      <alignment horizontal="center" vertical="center"/>
    </xf>
    <xf numFmtId="49" fontId="29" fillId="50" borderId="4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49" fontId="29" fillId="0" borderId="48" xfId="0" applyNumberFormat="1" applyFont="1" applyFill="1" applyBorder="1" applyAlignment="1">
      <alignment horizontal="center" vertical="center"/>
    </xf>
    <xf numFmtId="4" fontId="23" fillId="14" borderId="60" xfId="0" applyNumberFormat="1" applyFont="1" applyFill="1" applyBorder="1" applyAlignment="1">
      <alignment vertical="center"/>
    </xf>
    <xf numFmtId="4" fontId="24" fillId="0" borderId="32" xfId="0" applyNumberFormat="1" applyFont="1" applyFill="1" applyBorder="1" applyAlignment="1">
      <alignment horizontal="right" vertical="center"/>
    </xf>
    <xf numFmtId="1" fontId="34" fillId="49" borderId="25" xfId="0" applyNumberFormat="1" applyFont="1" applyFill="1" applyBorder="1" applyAlignment="1">
      <alignment horizontal="center" vertical="center"/>
    </xf>
    <xf numFmtId="49" fontId="27" fillId="35" borderId="15" xfId="0" applyNumberFormat="1" applyFont="1" applyFill="1" applyBorder="1" applyAlignment="1">
      <alignment horizontal="left" vertical="center"/>
    </xf>
    <xf numFmtId="0" fontId="23" fillId="35" borderId="19" xfId="0" applyFont="1" applyFill="1" applyBorder="1" applyAlignment="1">
      <alignment vertical="center"/>
    </xf>
    <xf numFmtId="4" fontId="24" fillId="50" borderId="45" xfId="0" applyNumberFormat="1" applyFont="1" applyFill="1" applyBorder="1" applyAlignment="1">
      <alignment horizontal="right" vertical="center"/>
    </xf>
    <xf numFmtId="4" fontId="24" fillId="50" borderId="32" xfId="0" applyNumberFormat="1" applyFont="1" applyFill="1" applyBorder="1" applyAlignment="1">
      <alignment horizontal="right" vertical="center"/>
    </xf>
    <xf numFmtId="0" fontId="40" fillId="11" borderId="19" xfId="0" applyFont="1" applyFill="1" applyBorder="1" applyAlignment="1">
      <alignment vertical="center"/>
    </xf>
    <xf numFmtId="0" fontId="61" fillId="36" borderId="24" xfId="0" applyFont="1" applyFill="1" applyBorder="1" applyAlignment="1">
      <alignment horizontal="center" vertical="center"/>
    </xf>
    <xf numFmtId="49" fontId="29" fillId="0" borderId="44" xfId="0" applyNumberFormat="1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vertical="center"/>
    </xf>
    <xf numFmtId="4" fontId="31" fillId="35" borderId="45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90" fontId="39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24" fillId="50" borderId="33" xfId="0" applyFont="1" applyFill="1" applyBorder="1" applyAlignment="1">
      <alignment vertical="center" wrapText="1"/>
    </xf>
    <xf numFmtId="49" fontId="27" fillId="0" borderId="33" xfId="0" applyNumberFormat="1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vertical="center"/>
    </xf>
    <xf numFmtId="4" fontId="28" fillId="14" borderId="46" xfId="0" applyNumberFormat="1" applyFont="1" applyFill="1" applyBorder="1" applyAlignment="1">
      <alignment vertical="center"/>
    </xf>
    <xf numFmtId="4" fontId="72" fillId="7" borderId="55" xfId="0" applyNumberFormat="1" applyFont="1" applyFill="1" applyBorder="1" applyAlignment="1">
      <alignment horizontal="right" vertical="center"/>
    </xf>
    <xf numFmtId="4" fontId="72" fillId="35" borderId="46" xfId="0" applyNumberFormat="1" applyFont="1" applyFill="1" applyBorder="1" applyAlignment="1">
      <alignment horizontal="right" vertical="center"/>
    </xf>
    <xf numFmtId="0" fontId="72" fillId="14" borderId="43" xfId="0" applyFont="1" applyFill="1" applyBorder="1" applyAlignment="1">
      <alignment vertical="center"/>
    </xf>
    <xf numFmtId="4" fontId="27" fillId="7" borderId="51" xfId="0" applyNumberFormat="1" applyFont="1" applyFill="1" applyBorder="1" applyAlignment="1">
      <alignment/>
    </xf>
    <xf numFmtId="4" fontId="23" fillId="14" borderId="69" xfId="0" applyNumberFormat="1" applyFont="1" applyFill="1" applyBorder="1" applyAlignment="1">
      <alignment/>
    </xf>
    <xf numFmtId="4" fontId="23" fillId="35" borderId="69" xfId="0" applyNumberFormat="1" applyFont="1" applyFill="1" applyBorder="1" applyAlignment="1">
      <alignment horizontal="right"/>
    </xf>
    <xf numFmtId="4" fontId="24" fillId="0" borderId="69" xfId="0" applyNumberFormat="1" applyFont="1" applyFill="1" applyBorder="1" applyAlignment="1">
      <alignment horizontal="right"/>
    </xf>
    <xf numFmtId="4" fontId="24" fillId="0" borderId="20" xfId="0" applyNumberFormat="1" applyFont="1" applyFill="1" applyBorder="1" applyAlignment="1">
      <alignment/>
    </xf>
    <xf numFmtId="4" fontId="24" fillId="50" borderId="69" xfId="0" applyNumberFormat="1" applyFont="1" applyFill="1" applyBorder="1" applyAlignment="1">
      <alignment horizontal="right"/>
    </xf>
    <xf numFmtId="4" fontId="24" fillId="0" borderId="70" xfId="0" applyNumberFormat="1" applyFont="1" applyFill="1" applyBorder="1" applyAlignment="1">
      <alignment horizontal="right"/>
    </xf>
    <xf numFmtId="0" fontId="29" fillId="49" borderId="25" xfId="0" applyFont="1" applyFill="1" applyBorder="1" applyAlignment="1">
      <alignment horizontal="center" vertical="center"/>
    </xf>
    <xf numFmtId="49" fontId="31" fillId="14" borderId="71" xfId="0" applyNumberFormat="1" applyFont="1" applyFill="1" applyBorder="1" applyAlignment="1">
      <alignment horizontal="left" vertical="center"/>
    </xf>
    <xf numFmtId="49" fontId="27" fillId="14" borderId="71" xfId="0" applyNumberFormat="1" applyFont="1" applyFill="1" applyBorder="1" applyAlignment="1">
      <alignment horizontal="center" vertical="center"/>
    </xf>
    <xf numFmtId="49" fontId="24" fillId="14" borderId="72" xfId="0" applyNumberFormat="1" applyFont="1" applyFill="1" applyBorder="1" applyAlignment="1">
      <alignment horizontal="center" vertical="center"/>
    </xf>
    <xf numFmtId="0" fontId="23" fillId="14" borderId="72" xfId="0" applyFont="1" applyFill="1" applyBorder="1" applyAlignment="1">
      <alignment vertical="center"/>
    </xf>
    <xf numFmtId="4" fontId="32" fillId="14" borderId="73" xfId="0" applyNumberFormat="1" applyFont="1" applyFill="1" applyBorder="1" applyAlignment="1">
      <alignment horizontal="right" vertical="center"/>
    </xf>
    <xf numFmtId="49" fontId="31" fillId="11" borderId="44" xfId="0" applyNumberFormat="1" applyFont="1" applyFill="1" applyBorder="1" applyAlignment="1">
      <alignment horizontal="center" vertical="center"/>
    </xf>
    <xf numFmtId="49" fontId="47" fillId="11" borderId="33" xfId="0" applyNumberFormat="1" applyFont="1" applyFill="1" applyBorder="1" applyAlignment="1">
      <alignment horizontal="center" vertical="center"/>
    </xf>
    <xf numFmtId="0" fontId="27" fillId="11" borderId="33" xfId="0" applyFont="1" applyFill="1" applyBorder="1" applyAlignment="1">
      <alignment vertical="center"/>
    </xf>
    <xf numFmtId="4" fontId="31" fillId="11" borderId="74" xfId="0" applyNumberFormat="1" applyFont="1" applyFill="1" applyBorder="1" applyAlignment="1">
      <alignment horizontal="right" vertical="center"/>
    </xf>
    <xf numFmtId="49" fontId="31" fillId="50" borderId="44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4" fillId="50" borderId="33" xfId="0" applyFont="1" applyFill="1" applyBorder="1" applyAlignment="1">
      <alignment vertical="center"/>
    </xf>
    <xf numFmtId="4" fontId="29" fillId="0" borderId="32" xfId="0" applyNumberFormat="1" applyFont="1" applyFill="1" applyBorder="1" applyAlignment="1">
      <alignment horizontal="right" vertical="center"/>
    </xf>
    <xf numFmtId="49" fontId="29" fillId="0" borderId="15" xfId="0" applyNumberFormat="1" applyFont="1" applyBorder="1" applyAlignment="1">
      <alignment horizontal="center" vertical="center"/>
    </xf>
    <xf numFmtId="4" fontId="29" fillId="0" borderId="32" xfId="0" applyNumberFormat="1" applyFont="1" applyBorder="1" applyAlignment="1">
      <alignment horizontal="right" vertical="center"/>
    </xf>
    <xf numFmtId="0" fontId="29" fillId="49" borderId="16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vertical="center"/>
    </xf>
    <xf numFmtId="0" fontId="29" fillId="49" borderId="26" xfId="0" applyFont="1" applyFill="1" applyBorder="1" applyAlignment="1">
      <alignment horizontal="center" vertical="center"/>
    </xf>
    <xf numFmtId="49" fontId="31" fillId="11" borderId="15" xfId="0" applyNumberFormat="1" applyFont="1" applyFill="1" applyBorder="1" applyAlignment="1">
      <alignment horizontal="center" vertical="center"/>
    </xf>
    <xf numFmtId="49" fontId="29" fillId="11" borderId="15" xfId="0" applyNumberFormat="1" applyFont="1" applyFill="1" applyBorder="1" applyAlignment="1">
      <alignment horizontal="center" vertical="center"/>
    </xf>
    <xf numFmtId="0" fontId="27" fillId="11" borderId="31" xfId="0" applyFont="1" applyFill="1" applyBorder="1" applyAlignment="1">
      <alignment vertical="center"/>
    </xf>
    <xf numFmtId="4" fontId="32" fillId="11" borderId="32" xfId="0" applyNumberFormat="1" applyFont="1" applyFill="1" applyBorder="1" applyAlignment="1">
      <alignment horizontal="right" vertical="center"/>
    </xf>
    <xf numFmtId="49" fontId="31" fillId="0" borderId="44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4" fontId="29" fillId="0" borderId="74" xfId="0" applyNumberFormat="1" applyFont="1" applyBorder="1" applyAlignment="1">
      <alignment horizontal="right" vertical="center"/>
    </xf>
    <xf numFmtId="49" fontId="31" fillId="0" borderId="15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0" fontId="32" fillId="3" borderId="75" xfId="0" applyFont="1" applyFill="1" applyBorder="1" applyAlignment="1">
      <alignment horizontal="center" vertical="center"/>
    </xf>
    <xf numFmtId="49" fontId="27" fillId="3" borderId="76" xfId="0" applyNumberFormat="1" applyFont="1" applyFill="1" applyBorder="1" applyAlignment="1">
      <alignment horizontal="center" vertical="center"/>
    </xf>
    <xf numFmtId="49" fontId="27" fillId="3" borderId="77" xfId="0" applyNumberFormat="1" applyFont="1" applyFill="1" applyBorder="1" applyAlignment="1">
      <alignment horizontal="center" vertical="center"/>
    </xf>
    <xf numFmtId="49" fontId="23" fillId="3" borderId="77" xfId="0" applyNumberFormat="1" applyFont="1" applyFill="1" applyBorder="1" applyAlignment="1">
      <alignment horizontal="center" vertical="center"/>
    </xf>
    <xf numFmtId="0" fontId="27" fillId="3" borderId="76" xfId="0" applyFont="1" applyFill="1" applyBorder="1" applyAlignment="1">
      <alignment vertical="center"/>
    </xf>
    <xf numFmtId="4" fontId="32" fillId="3" borderId="78" xfId="0" applyNumberFormat="1" applyFont="1" applyFill="1" applyBorder="1" applyAlignment="1">
      <alignment horizontal="right" vertical="center"/>
    </xf>
    <xf numFmtId="0" fontId="29" fillId="21" borderId="25" xfId="0" applyFont="1" applyFill="1" applyBorder="1" applyAlignment="1">
      <alignment horizontal="center" vertical="center"/>
    </xf>
    <xf numFmtId="49" fontId="24" fillId="21" borderId="44" xfId="0" applyNumberFormat="1" applyFont="1" applyFill="1" applyBorder="1" applyAlignment="1">
      <alignment horizontal="center" vertical="center"/>
    </xf>
    <xf numFmtId="0" fontId="27" fillId="21" borderId="44" xfId="0" applyFont="1" applyFill="1" applyBorder="1" applyAlignment="1">
      <alignment vertical="center"/>
    </xf>
    <xf numFmtId="4" fontId="23" fillId="21" borderId="74" xfId="0" applyNumberFormat="1" applyFont="1" applyFill="1" applyBorder="1" applyAlignment="1">
      <alignment horizontal="right" vertical="center"/>
    </xf>
    <xf numFmtId="0" fontId="29" fillId="19" borderId="21" xfId="0" applyFont="1" applyFill="1" applyBorder="1" applyAlignment="1">
      <alignment horizontal="center" vertical="center"/>
    </xf>
    <xf numFmtId="49" fontId="24" fillId="19" borderId="22" xfId="0" applyNumberFormat="1" applyFont="1" applyFill="1" applyBorder="1" applyAlignment="1">
      <alignment horizontal="center" vertical="center"/>
    </xf>
    <xf numFmtId="0" fontId="27" fillId="19" borderId="22" xfId="0" applyFont="1" applyFill="1" applyBorder="1" applyAlignment="1">
      <alignment vertical="center"/>
    </xf>
    <xf numFmtId="4" fontId="23" fillId="19" borderId="61" xfId="0" applyNumberFormat="1" applyFont="1" applyFill="1" applyBorder="1" applyAlignment="1">
      <alignment horizontal="right" vertical="center"/>
    </xf>
    <xf numFmtId="0" fontId="29" fillId="53" borderId="75" xfId="0" applyFont="1" applyFill="1" applyBorder="1" applyAlignment="1">
      <alignment horizontal="center" vertical="center"/>
    </xf>
    <xf numFmtId="49" fontId="24" fillId="53" borderId="76" xfId="0" applyNumberFormat="1" applyFont="1" applyFill="1" applyBorder="1" applyAlignment="1">
      <alignment horizontal="center" vertical="center"/>
    </xf>
    <xf numFmtId="0" fontId="23" fillId="53" borderId="76" xfId="0" applyFont="1" applyFill="1" applyBorder="1" applyAlignment="1">
      <alignment vertical="center"/>
    </xf>
    <xf numFmtId="4" fontId="23" fillId="53" borderId="78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106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vertical="center" wrapText="1"/>
    </xf>
    <xf numFmtId="49" fontId="29" fillId="0" borderId="29" xfId="0" applyNumberFormat="1" applyFont="1" applyFill="1" applyBorder="1" applyAlignment="1">
      <alignment horizontal="center" vertical="center"/>
    </xf>
    <xf numFmtId="1" fontId="40" fillId="49" borderId="25" xfId="0" applyNumberFormat="1" applyFont="1" applyFill="1" applyBorder="1" applyAlignment="1">
      <alignment horizontal="center" vertical="center"/>
    </xf>
    <xf numFmtId="49" fontId="60" fillId="0" borderId="66" xfId="0" applyNumberFormat="1" applyFont="1" applyFill="1" applyBorder="1" applyAlignment="1">
      <alignment horizontal="center" vertical="center"/>
    </xf>
    <xf numFmtId="3" fontId="23" fillId="54" borderId="39" xfId="0" applyNumberFormat="1" applyFont="1" applyFill="1" applyBorder="1" applyAlignment="1">
      <alignment horizontal="center"/>
    </xf>
    <xf numFmtId="0" fontId="23" fillId="54" borderId="40" xfId="0" applyFont="1" applyFill="1" applyBorder="1" applyAlignment="1">
      <alignment horizontal="center"/>
    </xf>
    <xf numFmtId="49" fontId="36" fillId="54" borderId="40" xfId="0" applyNumberFormat="1" applyFont="1" applyFill="1" applyBorder="1" applyAlignment="1">
      <alignment horizontal="center"/>
    </xf>
    <xf numFmtId="49" fontId="23" fillId="54" borderId="4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23" fillId="54" borderId="52" xfId="0" applyNumberFormat="1" applyFont="1" applyFill="1" applyBorder="1" applyAlignment="1">
      <alignment horizontal="center"/>
    </xf>
    <xf numFmtId="0" fontId="24" fillId="50" borderId="31" xfId="0" applyFont="1" applyFill="1" applyBorder="1" applyAlignment="1">
      <alignment vertical="center" wrapText="1"/>
    </xf>
    <xf numFmtId="3" fontId="23" fillId="23" borderId="39" xfId="0" applyNumberFormat="1" applyFont="1" applyFill="1" applyBorder="1" applyAlignment="1">
      <alignment horizontal="center"/>
    </xf>
    <xf numFmtId="49" fontId="36" fillId="23" borderId="40" xfId="0" applyNumberFormat="1" applyFont="1" applyFill="1" applyBorder="1" applyAlignment="1">
      <alignment horizontal="center"/>
    </xf>
    <xf numFmtId="0" fontId="23" fillId="51" borderId="40" xfId="0" applyFont="1" applyFill="1" applyBorder="1" applyAlignment="1">
      <alignment horizontal="center"/>
    </xf>
    <xf numFmtId="0" fontId="36" fillId="51" borderId="40" xfId="0" applyFont="1" applyFill="1" applyBorder="1" applyAlignment="1">
      <alignment horizontal="center"/>
    </xf>
    <xf numFmtId="3" fontId="74" fillId="46" borderId="39" xfId="0" applyNumberFormat="1" applyFont="1" applyFill="1" applyBorder="1" applyAlignment="1">
      <alignment horizontal="center"/>
    </xf>
    <xf numFmtId="3" fontId="23" fillId="46" borderId="39" xfId="0" applyNumberFormat="1" applyFont="1" applyFill="1" applyBorder="1" applyAlignment="1">
      <alignment horizontal="center"/>
    </xf>
    <xf numFmtId="0" fontId="36" fillId="46" borderId="40" xfId="0" applyFont="1" applyFill="1" applyBorder="1" applyAlignment="1">
      <alignment horizontal="center"/>
    </xf>
    <xf numFmtId="49" fontId="36" fillId="46" borderId="40" xfId="0" applyNumberFormat="1" applyFont="1" applyFill="1" applyBorder="1" applyAlignment="1">
      <alignment horizontal="center"/>
    </xf>
    <xf numFmtId="49" fontId="74" fillId="46" borderId="52" xfId="0" applyNumberFormat="1" applyFont="1" applyFill="1" applyBorder="1" applyAlignment="1">
      <alignment horizontal="center"/>
    </xf>
    <xf numFmtId="49" fontId="23" fillId="46" borderId="52" xfId="0" applyNumberFormat="1" applyFont="1" applyFill="1" applyBorder="1" applyAlignment="1">
      <alignment horizontal="center"/>
    </xf>
    <xf numFmtId="4" fontId="32" fillId="14" borderId="45" xfId="0" applyNumberFormat="1" applyFont="1" applyFill="1" applyBorder="1" applyAlignment="1">
      <alignment/>
    </xf>
    <xf numFmtId="4" fontId="32" fillId="14" borderId="46" xfId="0" applyNumberFormat="1" applyFont="1" applyFill="1" applyBorder="1" applyAlignment="1">
      <alignment horizontal="right"/>
    </xf>
    <xf numFmtId="0" fontId="44" fillId="36" borderId="41" xfId="0" applyFont="1" applyFill="1" applyBorder="1" applyAlignment="1">
      <alignment vertical="center"/>
    </xf>
    <xf numFmtId="0" fontId="32" fillId="35" borderId="35" xfId="0" applyFont="1" applyFill="1" applyBorder="1" applyAlignment="1">
      <alignment vertical="center"/>
    </xf>
    <xf numFmtId="0" fontId="29" fillId="50" borderId="38" xfId="0" applyFont="1" applyFill="1" applyBorder="1" applyAlignment="1">
      <alignment vertical="center"/>
    </xf>
    <xf numFmtId="0" fontId="29" fillId="36" borderId="56" xfId="0" applyFont="1" applyFill="1" applyBorder="1" applyAlignment="1">
      <alignment horizontal="center"/>
    </xf>
    <xf numFmtId="4" fontId="24" fillId="7" borderId="30" xfId="0" applyNumberFormat="1" applyFont="1" applyFill="1" applyBorder="1" applyAlignment="1">
      <alignment vertical="center"/>
    </xf>
    <xf numFmtId="4" fontId="24" fillId="14" borderId="19" xfId="0" applyNumberFormat="1" applyFont="1" applyFill="1" applyBorder="1" applyAlignment="1">
      <alignment vertical="center"/>
    </xf>
    <xf numFmtId="4" fontId="24" fillId="35" borderId="19" xfId="0" applyNumberFormat="1" applyFont="1" applyFill="1" applyBorder="1" applyAlignment="1">
      <alignment vertical="center"/>
    </xf>
    <xf numFmtId="4" fontId="24" fillId="50" borderId="19" xfId="0" applyNumberFormat="1" applyFont="1" applyFill="1" applyBorder="1" applyAlignment="1">
      <alignment vertical="center"/>
    </xf>
    <xf numFmtId="0" fontId="29" fillId="36" borderId="19" xfId="0" applyFont="1" applyFill="1" applyBorder="1" applyAlignment="1">
      <alignment/>
    </xf>
    <xf numFmtId="0" fontId="29" fillId="35" borderId="19" xfId="0" applyFont="1" applyFill="1" applyBorder="1" applyAlignment="1">
      <alignment vertical="center"/>
    </xf>
    <xf numFmtId="3" fontId="23" fillId="44" borderId="39" xfId="0" applyNumberFormat="1" applyFont="1" applyFill="1" applyBorder="1" applyAlignment="1">
      <alignment horizontal="center"/>
    </xf>
    <xf numFmtId="0" fontId="23" fillId="44" borderId="40" xfId="0" applyFont="1" applyFill="1" applyBorder="1" applyAlignment="1">
      <alignment horizontal="center"/>
    </xf>
    <xf numFmtId="49" fontId="36" fillId="44" borderId="40" xfId="0" applyNumberFormat="1" applyFont="1" applyFill="1" applyBorder="1" applyAlignment="1">
      <alignment horizontal="center"/>
    </xf>
    <xf numFmtId="49" fontId="23" fillId="44" borderId="40" xfId="0" applyNumberFormat="1" applyFont="1" applyFill="1" applyBorder="1" applyAlignment="1">
      <alignment horizontal="center"/>
    </xf>
    <xf numFmtId="49" fontId="23" fillId="44" borderId="52" xfId="0" applyNumberFormat="1" applyFont="1" applyFill="1" applyBorder="1" applyAlignment="1">
      <alignment horizontal="center"/>
    </xf>
    <xf numFmtId="3" fontId="74" fillId="44" borderId="39" xfId="0" applyNumberFormat="1" applyFont="1" applyFill="1" applyBorder="1" applyAlignment="1">
      <alignment horizontal="center"/>
    </xf>
    <xf numFmtId="0" fontId="74" fillId="44" borderId="40" xfId="0" applyFont="1" applyFill="1" applyBorder="1" applyAlignment="1">
      <alignment horizontal="center"/>
    </xf>
    <xf numFmtId="0" fontId="36" fillId="44" borderId="40" xfId="0" applyFont="1" applyFill="1" applyBorder="1" applyAlignment="1">
      <alignment horizontal="center"/>
    </xf>
    <xf numFmtId="49" fontId="74" fillId="44" borderId="52" xfId="0" applyNumberFormat="1" applyFont="1" applyFill="1" applyBorder="1" applyAlignment="1">
      <alignment horizontal="center"/>
    </xf>
    <xf numFmtId="4" fontId="29" fillId="0" borderId="74" xfId="0" applyNumberFormat="1" applyFont="1" applyFill="1" applyBorder="1" applyAlignment="1">
      <alignment horizontal="right" vertical="center"/>
    </xf>
    <xf numFmtId="4" fontId="32" fillId="14" borderId="60" xfId="0" applyNumberFormat="1" applyFont="1" applyFill="1" applyBorder="1" applyAlignment="1">
      <alignment vertical="center"/>
    </xf>
    <xf numFmtId="4" fontId="32" fillId="35" borderId="32" xfId="0" applyNumberFormat="1" applyFont="1" applyFill="1" applyBorder="1" applyAlignment="1">
      <alignment vertical="center"/>
    </xf>
    <xf numFmtId="4" fontId="47" fillId="0" borderId="63" xfId="0" applyNumberFormat="1" applyFont="1" applyFill="1" applyBorder="1" applyAlignment="1">
      <alignment horizontal="right" vertical="center"/>
    </xf>
    <xf numFmtId="4" fontId="47" fillId="0" borderId="46" xfId="0" applyNumberFormat="1" applyFont="1" applyFill="1" applyBorder="1" applyAlignment="1">
      <alignment horizontal="right" vertical="center"/>
    </xf>
    <xf numFmtId="4" fontId="47" fillId="0" borderId="45" xfId="0" applyNumberFormat="1" applyFont="1" applyFill="1" applyBorder="1" applyAlignment="1">
      <alignment horizontal="right" vertical="center"/>
    </xf>
    <xf numFmtId="4" fontId="29" fillId="0" borderId="60" xfId="0" applyNumberFormat="1" applyFont="1" applyFill="1" applyBorder="1" applyAlignment="1">
      <alignment horizontal="right" vertical="center"/>
    </xf>
    <xf numFmtId="4" fontId="32" fillId="35" borderId="32" xfId="0" applyNumberFormat="1" applyFont="1" applyFill="1" applyBorder="1" applyAlignment="1">
      <alignment horizontal="right" vertical="center"/>
    </xf>
    <xf numFmtId="4" fontId="29" fillId="0" borderId="62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4" fontId="24" fillId="0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75" fillId="0" borderId="46" xfId="0" applyNumberFormat="1" applyFont="1" applyFill="1" applyBorder="1" applyAlignment="1">
      <alignment horizontal="right" vertical="center"/>
    </xf>
    <xf numFmtId="4" fontId="75" fillId="0" borderId="45" xfId="0" applyNumberFormat="1" applyFont="1" applyFill="1" applyBorder="1" applyAlignment="1">
      <alignment horizontal="right" vertical="center"/>
    </xf>
    <xf numFmtId="4" fontId="24" fillId="50" borderId="54" xfId="0" applyNumberFormat="1" applyFont="1" applyFill="1" applyBorder="1" applyAlignment="1">
      <alignment horizontal="right"/>
    </xf>
    <xf numFmtId="4" fontId="24" fillId="50" borderId="70" xfId="0" applyNumberFormat="1" applyFont="1" applyFill="1" applyBorder="1" applyAlignment="1">
      <alignment horizontal="right"/>
    </xf>
    <xf numFmtId="4" fontId="29" fillId="0" borderId="49" xfId="0" applyNumberFormat="1" applyFont="1" applyFill="1" applyBorder="1" applyAlignment="1">
      <alignment horizontal="right" vertical="center"/>
    </xf>
    <xf numFmtId="0" fontId="34" fillId="49" borderId="75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49" fontId="29" fillId="0" borderId="77" xfId="0" applyNumberFormat="1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vertical="center"/>
    </xf>
    <xf numFmtId="4" fontId="23" fillId="0" borderId="8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34" fillId="49" borderId="16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" fontId="24" fillId="0" borderId="60" xfId="0" applyNumberFormat="1" applyFont="1" applyFill="1" applyBorder="1" applyAlignment="1">
      <alignment horizontal="right" vertical="center"/>
    </xf>
    <xf numFmtId="0" fontId="29" fillId="0" borderId="38" xfId="0" applyFont="1" applyFill="1" applyBorder="1" applyAlignment="1">
      <alignment/>
    </xf>
    <xf numFmtId="4" fontId="32" fillId="35" borderId="45" xfId="0" applyNumberFormat="1" applyFont="1" applyFill="1" applyBorder="1" applyAlignment="1">
      <alignment vertical="center"/>
    </xf>
    <xf numFmtId="4" fontId="29" fillId="0" borderId="40" xfId="0" applyNumberFormat="1" applyFont="1" applyFill="1" applyBorder="1" applyAlignment="1">
      <alignment horizontal="right" vertical="center"/>
    </xf>
    <xf numFmtId="4" fontId="32" fillId="35" borderId="45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24" fillId="50" borderId="13" xfId="0" applyFont="1" applyFill="1" applyBorder="1" applyAlignment="1">
      <alignment vertical="center" wrapText="1"/>
    </xf>
    <xf numFmtId="0" fontId="34" fillId="51" borderId="26" xfId="0" applyFont="1" applyFill="1" applyBorder="1" applyAlignment="1">
      <alignment horizontal="center" vertical="center"/>
    </xf>
    <xf numFmtId="4" fontId="75" fillId="0" borderId="54" xfId="0" applyNumberFormat="1" applyFont="1" applyFill="1" applyBorder="1" applyAlignment="1">
      <alignment horizontal="right" vertical="center"/>
    </xf>
    <xf numFmtId="1" fontId="34" fillId="51" borderId="26" xfId="0" applyNumberFormat="1" applyFont="1" applyFill="1" applyBorder="1" applyAlignment="1">
      <alignment horizontal="center"/>
    </xf>
    <xf numFmtId="49" fontId="34" fillId="49" borderId="26" xfId="0" applyNumberFormat="1" applyFont="1" applyFill="1" applyBorder="1" applyAlignment="1">
      <alignment horizontal="center"/>
    </xf>
    <xf numFmtId="49" fontId="40" fillId="49" borderId="26" xfId="0" applyNumberFormat="1" applyFont="1" applyFill="1" applyBorder="1" applyAlignment="1">
      <alignment horizontal="center" vertical="center"/>
    </xf>
    <xf numFmtId="0" fontId="29" fillId="50" borderId="14" xfId="0" applyFont="1" applyFill="1" applyBorder="1" applyAlignment="1">
      <alignment vertical="center" wrapText="1"/>
    </xf>
    <xf numFmtId="0" fontId="24" fillId="36" borderId="81" xfId="0" applyFont="1" applyFill="1" applyBorder="1" applyAlignment="1">
      <alignment/>
    </xf>
    <xf numFmtId="0" fontId="24" fillId="36" borderId="20" xfId="0" applyFont="1" applyFill="1" applyBorder="1" applyAlignment="1">
      <alignment/>
    </xf>
    <xf numFmtId="0" fontId="23" fillId="36" borderId="82" xfId="0" applyFont="1" applyFill="1" applyBorder="1" applyAlignment="1">
      <alignment horizontal="center"/>
    </xf>
    <xf numFmtId="0" fontId="29" fillId="7" borderId="83" xfId="0" applyFont="1" applyFill="1" applyBorder="1" applyAlignment="1">
      <alignment vertical="center"/>
    </xf>
    <xf numFmtId="0" fontId="29" fillId="14" borderId="20" xfId="0" applyFont="1" applyFill="1" applyBorder="1" applyAlignment="1">
      <alignment vertical="center"/>
    </xf>
    <xf numFmtId="4" fontId="24" fillId="35" borderId="20" xfId="0" applyNumberFormat="1" applyFont="1" applyFill="1" applyBorder="1" applyAlignment="1">
      <alignment vertical="center"/>
    </xf>
    <xf numFmtId="3" fontId="32" fillId="23" borderId="28" xfId="0" applyNumberFormat="1" applyFont="1" applyFill="1" applyBorder="1" applyAlignment="1">
      <alignment horizontal="center"/>
    </xf>
    <xf numFmtId="0" fontId="23" fillId="23" borderId="0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center"/>
    </xf>
    <xf numFmtId="49" fontId="23" fillId="23" borderId="17" xfId="0" applyNumberFormat="1" applyFont="1" applyFill="1" applyBorder="1" applyAlignment="1">
      <alignment horizontal="center"/>
    </xf>
    <xf numFmtId="4" fontId="27" fillId="7" borderId="17" xfId="0" applyNumberFormat="1" applyFont="1" applyFill="1" applyBorder="1" applyAlignment="1">
      <alignment horizontal="right" vertical="center"/>
    </xf>
    <xf numFmtId="4" fontId="23" fillId="14" borderId="42" xfId="0" applyNumberFormat="1" applyFont="1" applyFill="1" applyBorder="1" applyAlignment="1">
      <alignment horizontal="right" vertical="center"/>
    </xf>
    <xf numFmtId="4" fontId="24" fillId="50" borderId="0" xfId="0" applyNumberFormat="1" applyFont="1" applyFill="1" applyBorder="1" applyAlignment="1">
      <alignment horizontal="right" vertical="center"/>
    </xf>
    <xf numFmtId="4" fontId="40" fillId="0" borderId="54" xfId="0" applyNumberFormat="1" applyFont="1" applyBorder="1" applyAlignment="1">
      <alignment horizontal="right" vertical="center"/>
    </xf>
    <xf numFmtId="3" fontId="23" fillId="51" borderId="28" xfId="0" applyNumberFormat="1" applyFont="1" applyFill="1" applyBorder="1" applyAlignment="1">
      <alignment horizontal="center"/>
    </xf>
    <xf numFmtId="0" fontId="23" fillId="51" borderId="0" xfId="0" applyFont="1" applyFill="1" applyBorder="1" applyAlignment="1">
      <alignment horizontal="center"/>
    </xf>
    <xf numFmtId="0" fontId="36" fillId="51" borderId="0" xfId="0" applyFont="1" applyFill="1" applyBorder="1" applyAlignment="1">
      <alignment horizontal="center"/>
    </xf>
    <xf numFmtId="49" fontId="23" fillId="51" borderId="17" xfId="0" applyNumberFormat="1" applyFont="1" applyFill="1" applyBorder="1" applyAlignment="1">
      <alignment horizontal="center"/>
    </xf>
    <xf numFmtId="3" fontId="74" fillId="44" borderId="28" xfId="0" applyNumberFormat="1" applyFont="1" applyFill="1" applyBorder="1" applyAlignment="1">
      <alignment horizontal="center"/>
    </xf>
    <xf numFmtId="0" fontId="74" fillId="44" borderId="0" xfId="0" applyFont="1" applyFill="1" applyBorder="1" applyAlignment="1">
      <alignment horizontal="center"/>
    </xf>
    <xf numFmtId="0" fontId="36" fillId="44" borderId="0" xfId="0" applyFont="1" applyFill="1" applyBorder="1" applyAlignment="1">
      <alignment horizontal="center"/>
    </xf>
    <xf numFmtId="49" fontId="74" fillId="44" borderId="17" xfId="0" applyNumberFormat="1" applyFont="1" applyFill="1" applyBorder="1" applyAlignment="1">
      <alignment horizontal="center"/>
    </xf>
    <xf numFmtId="3" fontId="74" fillId="46" borderId="84" xfId="0" applyNumberFormat="1" applyFont="1" applyFill="1" applyBorder="1" applyAlignment="1">
      <alignment horizontal="center"/>
    </xf>
    <xf numFmtId="0" fontId="36" fillId="46" borderId="82" xfId="0" applyFont="1" applyFill="1" applyBorder="1" applyAlignment="1">
      <alignment horizontal="center"/>
    </xf>
    <xf numFmtId="49" fontId="74" fillId="46" borderId="51" xfId="0" applyNumberFormat="1" applyFont="1" applyFill="1" applyBorder="1" applyAlignment="1">
      <alignment horizontal="center"/>
    </xf>
    <xf numFmtId="4" fontId="40" fillId="0" borderId="54" xfId="0" applyNumberFormat="1" applyFont="1" applyBorder="1" applyAlignment="1">
      <alignment vertical="center"/>
    </xf>
    <xf numFmtId="4" fontId="40" fillId="0" borderId="68" xfId="0" applyNumberFormat="1" applyFont="1" applyBorder="1" applyAlignment="1">
      <alignment horizontal="right" vertical="center"/>
    </xf>
    <xf numFmtId="4" fontId="40" fillId="0" borderId="68" xfId="0" applyNumberFormat="1" applyFont="1" applyBorder="1" applyAlignment="1">
      <alignment vertical="center"/>
    </xf>
    <xf numFmtId="4" fontId="40" fillId="0" borderId="70" xfId="0" applyNumberFormat="1" applyFont="1" applyBorder="1" applyAlignment="1">
      <alignment vertical="center"/>
    </xf>
    <xf numFmtId="49" fontId="29" fillId="51" borderId="47" xfId="0" applyNumberFormat="1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4" fontId="31" fillId="7" borderId="52" xfId="0" applyNumberFormat="1" applyFont="1" applyFill="1" applyBorder="1" applyAlignment="1">
      <alignment vertical="center"/>
    </xf>
    <xf numFmtId="4" fontId="31" fillId="7" borderId="73" xfId="0" applyNumberFormat="1" applyFont="1" applyFill="1" applyBorder="1" applyAlignment="1">
      <alignment vertical="center"/>
    </xf>
    <xf numFmtId="0" fontId="29" fillId="50" borderId="41" xfId="0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horizontal="center"/>
    </xf>
    <xf numFmtId="4" fontId="47" fillId="0" borderId="20" xfId="0" applyNumberFormat="1" applyFont="1" applyFill="1" applyBorder="1" applyAlignment="1">
      <alignment horizontal="right" vertical="center"/>
    </xf>
    <xf numFmtId="4" fontId="47" fillId="0" borderId="23" xfId="0" applyNumberFormat="1" applyFont="1" applyFill="1" applyBorder="1" applyAlignment="1">
      <alignment horizontal="right" vertical="center"/>
    </xf>
    <xf numFmtId="4" fontId="24" fillId="50" borderId="31" xfId="0" applyNumberFormat="1" applyFont="1" applyFill="1" applyBorder="1" applyAlignment="1">
      <alignment horizontal="center" vertical="center"/>
    </xf>
    <xf numFmtId="3" fontId="47" fillId="50" borderId="31" xfId="0" applyNumberFormat="1" applyFont="1" applyFill="1" applyBorder="1" applyAlignment="1">
      <alignment horizontal="center" vertical="center"/>
    </xf>
    <xf numFmtId="4" fontId="72" fillId="7" borderId="55" xfId="0" applyNumberFormat="1" applyFont="1" applyFill="1" applyBorder="1" applyAlignment="1">
      <alignment vertical="center"/>
    </xf>
    <xf numFmtId="4" fontId="28" fillId="35" borderId="34" xfId="0" applyNumberFormat="1" applyFont="1" applyFill="1" applyBorder="1" applyAlignment="1">
      <alignment horizontal="right" vertical="center"/>
    </xf>
    <xf numFmtId="4" fontId="28" fillId="14" borderId="45" xfId="0" applyNumberFormat="1" applyFont="1" applyFill="1" applyBorder="1" applyAlignment="1">
      <alignment vertical="center"/>
    </xf>
    <xf numFmtId="4" fontId="28" fillId="14" borderId="40" xfId="0" applyNumberFormat="1" applyFont="1" applyFill="1" applyBorder="1" applyAlignment="1">
      <alignment vertical="center"/>
    </xf>
    <xf numFmtId="4" fontId="28" fillId="35" borderId="45" xfId="0" applyNumberFormat="1" applyFont="1" applyFill="1" applyBorder="1" applyAlignment="1">
      <alignment horizontal="right" vertical="center"/>
    </xf>
    <xf numFmtId="4" fontId="28" fillId="35" borderId="46" xfId="0" applyNumberFormat="1" applyFont="1" applyFill="1" applyBorder="1" applyAlignment="1">
      <alignment horizontal="right" vertical="center"/>
    </xf>
    <xf numFmtId="4" fontId="28" fillId="14" borderId="34" xfId="0" applyNumberFormat="1" applyFont="1" applyFill="1" applyBorder="1" applyAlignment="1">
      <alignment vertical="center"/>
    </xf>
    <xf numFmtId="4" fontId="75" fillId="0" borderId="40" xfId="0" applyNumberFormat="1" applyFont="1" applyFill="1" applyBorder="1" applyAlignment="1">
      <alignment horizontal="right" vertical="center"/>
    </xf>
    <xf numFmtId="4" fontId="75" fillId="0" borderId="34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40" fillId="0" borderId="0" xfId="0" applyFont="1" applyAlignment="1">
      <alignment vertical="center"/>
    </xf>
    <xf numFmtId="0" fontId="34" fillId="49" borderId="85" xfId="0" applyFont="1" applyFill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4" fillId="49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" fontId="24" fillId="0" borderId="46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7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" fontId="34" fillId="49" borderId="25" xfId="0" applyNumberFormat="1" applyFont="1" applyFill="1" applyBorder="1" applyAlignment="1">
      <alignment horizontal="center" vertical="center" wrapText="1"/>
    </xf>
    <xf numFmtId="4" fontId="24" fillId="0" borderId="45" xfId="0" applyNumberFormat="1" applyFont="1" applyFill="1" applyBorder="1" applyAlignment="1">
      <alignment horizontal="right" vertical="center" wrapText="1"/>
    </xf>
    <xf numFmtId="4" fontId="24" fillId="0" borderId="32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/>
    </xf>
    <xf numFmtId="4" fontId="35" fillId="0" borderId="45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39" fillId="0" borderId="0" xfId="0" applyFont="1" applyBorder="1" applyAlignment="1">
      <alignment/>
    </xf>
    <xf numFmtId="4" fontId="40" fillId="0" borderId="0" xfId="0" applyNumberFormat="1" applyFont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23" fillId="36" borderId="42" xfId="0" applyFont="1" applyFill="1" applyBorder="1" applyAlignment="1">
      <alignment horizontal="center"/>
    </xf>
    <xf numFmtId="49" fontId="33" fillId="35" borderId="33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34" fillId="49" borderId="47" xfId="0" applyNumberFormat="1" applyFont="1" applyFill="1" applyBorder="1" applyAlignment="1">
      <alignment horizontal="center"/>
    </xf>
    <xf numFmtId="0" fontId="40" fillId="0" borderId="50" xfId="0" applyFont="1" applyBorder="1" applyAlignment="1">
      <alignment horizontal="center" vertical="center"/>
    </xf>
    <xf numFmtId="0" fontId="40" fillId="0" borderId="38" xfId="0" applyFont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vertical="center" wrapText="1"/>
    </xf>
    <xf numFmtId="0" fontId="40" fillId="49" borderId="18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31" fillId="35" borderId="75" xfId="0" applyNumberFormat="1" applyFont="1" applyFill="1" applyBorder="1" applyAlignment="1">
      <alignment horizontal="center" vertical="center"/>
    </xf>
    <xf numFmtId="0" fontId="32" fillId="35" borderId="79" xfId="0" applyFont="1" applyFill="1" applyBorder="1" applyAlignment="1">
      <alignment vertical="center"/>
    </xf>
    <xf numFmtId="4" fontId="31" fillId="35" borderId="80" xfId="0" applyNumberFormat="1" applyFont="1" applyFill="1" applyBorder="1" applyAlignment="1">
      <alignment horizontal="right" vertical="center"/>
    </xf>
    <xf numFmtId="0" fontId="47" fillId="50" borderId="0" xfId="0" applyFont="1" applyFill="1" applyBorder="1" applyAlignment="1">
      <alignment vertical="center" wrapText="1"/>
    </xf>
    <xf numFmtId="4" fontId="29" fillId="0" borderId="34" xfId="0" applyNumberFormat="1" applyFont="1" applyFill="1" applyBorder="1" applyAlignment="1">
      <alignment horizontal="right" vertical="center"/>
    </xf>
    <xf numFmtId="49" fontId="31" fillId="35" borderId="44" xfId="0" applyNumberFormat="1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vertical="center"/>
    </xf>
    <xf numFmtId="0" fontId="32" fillId="35" borderId="86" xfId="0" applyFont="1" applyFill="1" applyBorder="1" applyAlignment="1">
      <alignment vertical="center"/>
    </xf>
    <xf numFmtId="4" fontId="31" fillId="35" borderId="46" xfId="0" applyNumberFormat="1" applyFont="1" applyFill="1" applyBorder="1" applyAlignment="1">
      <alignment horizontal="right" vertical="center"/>
    </xf>
    <xf numFmtId="0" fontId="32" fillId="14" borderId="75" xfId="0" applyFont="1" applyFill="1" applyBorder="1" applyAlignment="1">
      <alignment horizontal="center" vertical="center"/>
    </xf>
    <xf numFmtId="49" fontId="31" fillId="14" borderId="76" xfId="0" applyNumberFormat="1" applyFont="1" applyFill="1" applyBorder="1" applyAlignment="1">
      <alignment horizontal="left" vertical="center"/>
    </xf>
    <xf numFmtId="0" fontId="32" fillId="14" borderId="87" xfId="0" applyFont="1" applyFill="1" applyBorder="1" applyAlignment="1">
      <alignment vertical="center"/>
    </xf>
    <xf numFmtId="4" fontId="32" fillId="14" borderId="80" xfId="0" applyNumberFormat="1" applyFont="1" applyFill="1" applyBorder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4" fontId="31" fillId="35" borderId="40" xfId="0" applyNumberFormat="1" applyFont="1" applyFill="1" applyBorder="1" applyAlignment="1">
      <alignment vertical="center"/>
    </xf>
    <xf numFmtId="0" fontId="31" fillId="14" borderId="75" xfId="0" applyFont="1" applyFill="1" applyBorder="1" applyAlignment="1">
      <alignment horizontal="center" vertical="center"/>
    </xf>
    <xf numFmtId="0" fontId="31" fillId="14" borderId="79" xfId="0" applyFont="1" applyFill="1" applyBorder="1" applyAlignment="1">
      <alignment vertical="center"/>
    </xf>
    <xf numFmtId="0" fontId="29" fillId="14" borderId="79" xfId="0" applyFont="1" applyFill="1" applyBorder="1" applyAlignment="1">
      <alignment vertical="center"/>
    </xf>
    <xf numFmtId="4" fontId="32" fillId="14" borderId="80" xfId="0" applyNumberFormat="1" applyFont="1" applyFill="1" applyBorder="1" applyAlignment="1">
      <alignment vertical="center"/>
    </xf>
    <xf numFmtId="0" fontId="31" fillId="14" borderId="12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vertical="center"/>
    </xf>
    <xf numFmtId="0" fontId="29" fillId="14" borderId="0" xfId="0" applyFont="1" applyFill="1" applyBorder="1" applyAlignment="1">
      <alignment vertical="center"/>
    </xf>
    <xf numFmtId="49" fontId="32" fillId="35" borderId="76" xfId="0" applyNumberFormat="1" applyFont="1" applyFill="1" applyBorder="1" applyAlignment="1">
      <alignment horizontal="left" vertical="center"/>
    </xf>
    <xf numFmtId="49" fontId="32" fillId="35" borderId="87" xfId="0" applyNumberFormat="1" applyFont="1" applyFill="1" applyBorder="1" applyAlignment="1">
      <alignment horizontal="left" vertical="center"/>
    </xf>
    <xf numFmtId="4" fontId="31" fillId="35" borderId="80" xfId="0" applyNumberFormat="1" applyFont="1" applyFill="1" applyBorder="1" applyAlignment="1">
      <alignment vertical="center"/>
    </xf>
    <xf numFmtId="49" fontId="29" fillId="0" borderId="4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49" fontId="29" fillId="0" borderId="88" xfId="0" applyNumberFormat="1" applyFont="1" applyFill="1" applyBorder="1" applyAlignment="1">
      <alignment horizontal="center" vertical="center" wrapText="1"/>
    </xf>
    <xf numFmtId="4" fontId="24" fillId="0" borderId="39" xfId="0" applyNumberFormat="1" applyFont="1" applyFill="1" applyBorder="1" applyAlignment="1">
      <alignment horizontal="right" vertical="center" wrapText="1"/>
    </xf>
    <xf numFmtId="4" fontId="24" fillId="0" borderId="89" xfId="0" applyNumberFormat="1" applyFont="1" applyFill="1" applyBorder="1" applyAlignment="1">
      <alignment horizontal="right" vertical="center" wrapText="1"/>
    </xf>
    <xf numFmtId="49" fontId="29" fillId="0" borderId="90" xfId="0" applyNumberFormat="1" applyFont="1" applyFill="1" applyBorder="1" applyAlignment="1">
      <alignment horizontal="center" vertical="center" wrapText="1"/>
    </xf>
    <xf numFmtId="4" fontId="24" fillId="0" borderId="91" xfId="0" applyNumberFormat="1" applyFont="1" applyFill="1" applyBorder="1" applyAlignment="1">
      <alignment horizontal="right" vertical="center" wrapText="1"/>
    </xf>
    <xf numFmtId="4" fontId="24" fillId="0" borderId="92" xfId="0" applyNumberFormat="1" applyFont="1" applyFill="1" applyBorder="1" applyAlignment="1">
      <alignment horizontal="right" vertical="center" wrapText="1"/>
    </xf>
    <xf numFmtId="49" fontId="29" fillId="0" borderId="93" xfId="0" applyNumberFormat="1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vertical="center" wrapText="1"/>
    </xf>
    <xf numFmtId="4" fontId="24" fillId="0" borderId="95" xfId="0" applyNumberFormat="1" applyFont="1" applyFill="1" applyBorder="1" applyAlignment="1">
      <alignment horizontal="right" vertical="center" wrapText="1"/>
    </xf>
    <xf numFmtId="4" fontId="24" fillId="0" borderId="96" xfId="0" applyNumberFormat="1" applyFont="1" applyFill="1" applyBorder="1" applyAlignment="1">
      <alignment horizontal="right" vertical="center" wrapText="1"/>
    </xf>
    <xf numFmtId="4" fontId="24" fillId="0" borderId="97" xfId="0" applyNumberFormat="1" applyFont="1" applyFill="1" applyBorder="1" applyAlignment="1">
      <alignment horizontal="right" vertical="center" wrapText="1"/>
    </xf>
    <xf numFmtId="4" fontId="27" fillId="0" borderId="80" xfId="0" applyNumberFormat="1" applyFont="1" applyFill="1" applyBorder="1" applyAlignment="1">
      <alignment horizontal="right" vertical="center" wrapText="1"/>
    </xf>
    <xf numFmtId="49" fontId="31" fillId="0" borderId="75" xfId="0" applyNumberFormat="1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vertical="center" wrapText="1"/>
    </xf>
    <xf numFmtId="4" fontId="29" fillId="14" borderId="40" xfId="0" applyNumberFormat="1" applyFont="1" applyFill="1" applyBorder="1" applyAlignment="1">
      <alignment vertical="center"/>
    </xf>
    <xf numFmtId="4" fontId="32" fillId="14" borderId="46" xfId="0" applyNumberFormat="1" applyFont="1" applyFill="1" applyBorder="1" applyAlignment="1">
      <alignment vertical="center"/>
    </xf>
    <xf numFmtId="49" fontId="31" fillId="35" borderId="31" xfId="0" applyNumberFormat="1" applyFont="1" applyFill="1" applyBorder="1" applyAlignment="1">
      <alignment horizontal="left" vertical="center"/>
    </xf>
    <xf numFmtId="4" fontId="32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29" fillId="50" borderId="31" xfId="0" applyNumberFormat="1" applyFont="1" applyFill="1" applyBorder="1" applyAlignment="1">
      <alignment horizontal="center" vertical="center"/>
    </xf>
    <xf numFmtId="4" fontId="29" fillId="50" borderId="46" xfId="0" applyNumberFormat="1" applyFont="1" applyFill="1" applyBorder="1" applyAlignment="1">
      <alignment horizontal="right" vertical="center"/>
    </xf>
    <xf numFmtId="0" fontId="29" fillId="0" borderId="33" xfId="0" applyFont="1" applyFill="1" applyBorder="1" applyAlignment="1">
      <alignment horizontal="center" vertical="center"/>
    </xf>
    <xf numFmtId="49" fontId="31" fillId="35" borderId="29" xfId="0" applyNumberFormat="1" applyFont="1" applyFill="1" applyBorder="1" applyAlignment="1">
      <alignment horizontal="left" vertical="center"/>
    </xf>
    <xf numFmtId="0" fontId="32" fillId="35" borderId="57" xfId="0" applyFont="1" applyFill="1" applyBorder="1" applyAlignment="1">
      <alignment vertical="center"/>
    </xf>
    <xf numFmtId="4" fontId="32" fillId="35" borderId="34" xfId="0" applyNumberFormat="1" applyFont="1" applyFill="1" applyBorder="1" applyAlignment="1">
      <alignment horizontal="right" vertical="center"/>
    </xf>
    <xf numFmtId="0" fontId="40" fillId="50" borderId="50" xfId="0" applyFont="1" applyFill="1" applyBorder="1" applyAlignment="1">
      <alignment horizontal="center" vertical="center"/>
    </xf>
    <xf numFmtId="4" fontId="40" fillId="50" borderId="54" xfId="0" applyNumberFormat="1" applyFont="1" applyFill="1" applyBorder="1" applyAlignment="1">
      <alignment vertical="center"/>
    </xf>
    <xf numFmtId="4" fontId="47" fillId="0" borderId="34" xfId="0" applyNumberFormat="1" applyFont="1" applyFill="1" applyBorder="1" applyAlignment="1">
      <alignment horizontal="right" vertical="center"/>
    </xf>
    <xf numFmtId="4" fontId="47" fillId="0" borderId="69" xfId="0" applyNumberFormat="1" applyFont="1" applyFill="1" applyBorder="1" applyAlignment="1">
      <alignment horizontal="right" vertical="center"/>
    </xf>
    <xf numFmtId="0" fontId="40" fillId="11" borderId="20" xfId="0" applyFont="1" applyFill="1" applyBorder="1" applyAlignment="1">
      <alignment/>
    </xf>
    <xf numFmtId="0" fontId="32" fillId="36" borderId="82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9" fillId="49" borderId="98" xfId="0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29" fillId="50" borderId="45" xfId="0" applyNumberFormat="1" applyFont="1" applyFill="1" applyBorder="1" applyAlignment="1">
      <alignment horizontal="right" vertical="center"/>
    </xf>
    <xf numFmtId="0" fontId="29" fillId="49" borderId="21" xfId="0" applyFont="1" applyFill="1" applyBorder="1" applyAlignment="1">
      <alignment horizontal="center" vertical="center"/>
    </xf>
    <xf numFmtId="3" fontId="40" fillId="49" borderId="25" xfId="0" applyNumberFormat="1" applyFont="1" applyFill="1" applyBorder="1" applyAlignment="1">
      <alignment horizontal="center" vertical="center"/>
    </xf>
    <xf numFmtId="49" fontId="31" fillId="35" borderId="14" xfId="0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4" fontId="24" fillId="35" borderId="23" xfId="0" applyNumberFormat="1" applyFont="1" applyFill="1" applyBorder="1" applyAlignment="1">
      <alignment vertical="center"/>
    </xf>
    <xf numFmtId="4" fontId="23" fillId="35" borderId="46" xfId="0" applyNumberFormat="1" applyFont="1" applyFill="1" applyBorder="1" applyAlignment="1">
      <alignment horizontal="right" vertical="center"/>
    </xf>
    <xf numFmtId="49" fontId="29" fillId="51" borderId="26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4" fontId="40" fillId="0" borderId="45" xfId="0" applyNumberFormat="1" applyFont="1" applyBorder="1" applyAlignment="1">
      <alignment horizontal="right" vertical="center"/>
    </xf>
    <xf numFmtId="4" fontId="40" fillId="0" borderId="19" xfId="0" applyNumberFormat="1" applyFont="1" applyBorder="1" applyAlignment="1">
      <alignment horizontal="right" vertical="center"/>
    </xf>
    <xf numFmtId="4" fontId="40" fillId="0" borderId="19" xfId="0" applyNumberFormat="1" applyFont="1" applyBorder="1" applyAlignment="1">
      <alignment vertical="center"/>
    </xf>
    <xf numFmtId="4" fontId="40" fillId="0" borderId="45" xfId="0" applyNumberFormat="1" applyFont="1" applyBorder="1" applyAlignment="1">
      <alignment vertical="center"/>
    </xf>
    <xf numFmtId="4" fontId="40" fillId="0" borderId="20" xfId="0" applyNumberFormat="1" applyFont="1" applyBorder="1" applyAlignment="1">
      <alignment vertical="center"/>
    </xf>
    <xf numFmtId="0" fontId="40" fillId="49" borderId="16" xfId="0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40" fillId="49" borderId="21" xfId="0" applyFont="1" applyFill="1" applyBorder="1" applyAlignment="1">
      <alignment horizontal="center" vertical="center"/>
    </xf>
    <xf numFmtId="49" fontId="29" fillId="0" borderId="50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0" fontId="40" fillId="50" borderId="38" xfId="0" applyFont="1" applyFill="1" applyBorder="1" applyAlignment="1">
      <alignment vertical="center"/>
    </xf>
    <xf numFmtId="0" fontId="29" fillId="50" borderId="19" xfId="0" applyFont="1" applyFill="1" applyBorder="1" applyAlignment="1">
      <alignment vertical="center" wrapText="1"/>
    </xf>
    <xf numFmtId="0" fontId="32" fillId="49" borderId="75" xfId="0" applyFont="1" applyFill="1" applyBorder="1" applyAlignment="1">
      <alignment horizontal="center" vertical="center"/>
    </xf>
    <xf numFmtId="49" fontId="31" fillId="26" borderId="77" xfId="0" applyNumberFormat="1" applyFont="1" applyFill="1" applyBorder="1" applyAlignment="1">
      <alignment horizontal="center" vertical="center"/>
    </xf>
    <xf numFmtId="49" fontId="31" fillId="26" borderId="76" xfId="0" applyNumberFormat="1" applyFont="1" applyFill="1" applyBorder="1" applyAlignment="1">
      <alignment horizontal="center" vertical="center"/>
    </xf>
    <xf numFmtId="49" fontId="29" fillId="26" borderId="77" xfId="0" applyNumberFormat="1" applyFont="1" applyFill="1" applyBorder="1" applyAlignment="1">
      <alignment horizontal="center" vertical="center"/>
    </xf>
    <xf numFmtId="0" fontId="32" fillId="26" borderId="79" xfId="0" applyFont="1" applyFill="1" applyBorder="1" applyAlignment="1">
      <alignment vertical="center"/>
    </xf>
    <xf numFmtId="0" fontId="29" fillId="26" borderId="79" xfId="0" applyFont="1" applyFill="1" applyBorder="1" applyAlignment="1">
      <alignment vertical="center"/>
    </xf>
    <xf numFmtId="4" fontId="32" fillId="26" borderId="8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32" fillId="49" borderId="25" xfId="0" applyFont="1" applyFill="1" applyBorder="1" applyAlignment="1">
      <alignment horizontal="center" vertical="center"/>
    </xf>
    <xf numFmtId="49" fontId="47" fillId="35" borderId="44" xfId="0" applyNumberFormat="1" applyFont="1" applyFill="1" applyBorder="1" applyAlignment="1">
      <alignment horizontal="center" vertical="center"/>
    </xf>
    <xf numFmtId="49" fontId="29" fillId="35" borderId="33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vertical="center"/>
    </xf>
    <xf numFmtId="0" fontId="29" fillId="35" borderId="14" xfId="0" applyFont="1" applyFill="1" applyBorder="1" applyAlignment="1">
      <alignment vertical="center"/>
    </xf>
    <xf numFmtId="4" fontId="32" fillId="35" borderId="46" xfId="0" applyNumberFormat="1" applyFont="1" applyFill="1" applyBorder="1" applyAlignment="1">
      <alignment horizontal="right" vertical="center"/>
    </xf>
    <xf numFmtId="49" fontId="68" fillId="50" borderId="44" xfId="0" applyNumberFormat="1" applyFont="1" applyFill="1" applyBorder="1" applyAlignment="1">
      <alignment horizontal="center" vertical="center"/>
    </xf>
    <xf numFmtId="49" fontId="68" fillId="50" borderId="33" xfId="0" applyNumberFormat="1" applyFont="1" applyFill="1" applyBorder="1" applyAlignment="1">
      <alignment horizontal="center" vertical="center"/>
    </xf>
    <xf numFmtId="0" fontId="47" fillId="50" borderId="14" xfId="0" applyFont="1" applyFill="1" applyBorder="1" applyAlignment="1">
      <alignment vertical="center"/>
    </xf>
    <xf numFmtId="4" fontId="31" fillId="50" borderId="45" xfId="0" applyNumberFormat="1" applyFont="1" applyFill="1" applyBorder="1" applyAlignment="1">
      <alignment horizontal="right" vertical="center"/>
    </xf>
    <xf numFmtId="4" fontId="31" fillId="50" borderId="0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49" fontId="68" fillId="35" borderId="15" xfId="0" applyNumberFormat="1" applyFont="1" applyFill="1" applyBorder="1" applyAlignment="1">
      <alignment horizontal="center" vertical="center"/>
    </xf>
    <xf numFmtId="49" fontId="26" fillId="35" borderId="33" xfId="0" applyNumberFormat="1" applyFont="1" applyFill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0" fontId="31" fillId="50" borderId="14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4" fontId="31" fillId="0" borderId="45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4" fontId="29" fillId="0" borderId="45" xfId="0" applyNumberFormat="1" applyFont="1" applyBorder="1" applyAlignment="1">
      <alignment horizontal="right" vertical="center"/>
    </xf>
    <xf numFmtId="49" fontId="47" fillId="35" borderId="15" xfId="0" applyNumberFormat="1" applyFont="1" applyFill="1" applyBorder="1" applyAlignment="1">
      <alignment horizontal="center" vertical="center"/>
    </xf>
    <xf numFmtId="49" fontId="47" fillId="35" borderId="33" xfId="0" applyNumberFormat="1" applyFont="1" applyFill="1" applyBorder="1" applyAlignment="1">
      <alignment horizontal="center" vertical="center"/>
    </xf>
    <xf numFmtId="4" fontId="29" fillId="0" borderId="45" xfId="0" applyNumberFormat="1" applyFont="1" applyFill="1" applyBorder="1" applyAlignment="1">
      <alignment horizontal="right" vertical="center"/>
    </xf>
    <xf numFmtId="49" fontId="68" fillId="0" borderId="15" xfId="0" applyNumberFormat="1" applyFont="1" applyFill="1" applyBorder="1" applyAlignment="1">
      <alignment horizontal="center" vertical="center"/>
    </xf>
    <xf numFmtId="49" fontId="68" fillId="0" borderId="3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right" vertical="center"/>
    </xf>
    <xf numFmtId="4" fontId="29" fillId="55" borderId="45" xfId="0" applyNumberFormat="1" applyFont="1" applyFill="1" applyBorder="1" applyAlignment="1">
      <alignment horizontal="right" vertical="center"/>
    </xf>
    <xf numFmtId="49" fontId="29" fillId="0" borderId="22" xfId="0" applyNumberFormat="1" applyFont="1" applyBorder="1" applyAlignment="1">
      <alignment horizontal="center" vertical="center"/>
    </xf>
    <xf numFmtId="49" fontId="68" fillId="0" borderId="22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" fontId="29" fillId="0" borderId="34" xfId="0" applyNumberFormat="1" applyFont="1" applyBorder="1" applyAlignment="1">
      <alignment horizontal="right" vertical="center"/>
    </xf>
    <xf numFmtId="0" fontId="32" fillId="49" borderId="16" xfId="0" applyFont="1" applyFill="1" applyBorder="1" applyAlignment="1">
      <alignment horizontal="center" vertical="center"/>
    </xf>
    <xf numFmtId="49" fontId="31" fillId="35" borderId="12" xfId="0" applyNumberFormat="1" applyFont="1" applyFill="1" applyBorder="1" applyAlignment="1">
      <alignment horizontal="center" vertical="center"/>
    </xf>
    <xf numFmtId="49" fontId="29" fillId="35" borderId="13" xfId="0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vertical="center"/>
    </xf>
    <xf numFmtId="4" fontId="32" fillId="35" borderId="40" xfId="0" applyNumberFormat="1" applyFont="1" applyFill="1" applyBorder="1" applyAlignment="1">
      <alignment horizontal="right" vertical="center"/>
    </xf>
    <xf numFmtId="0" fontId="32" fillId="49" borderId="99" xfId="0" applyFont="1" applyFill="1" applyBorder="1" applyAlignment="1">
      <alignment horizontal="center" vertical="center"/>
    </xf>
    <xf numFmtId="49" fontId="47" fillId="0" borderId="100" xfId="0" applyNumberFormat="1" applyFont="1" applyFill="1" applyBorder="1" applyAlignment="1">
      <alignment horizontal="center" vertical="center"/>
    </xf>
    <xf numFmtId="49" fontId="68" fillId="0" borderId="100" xfId="0" applyNumberFormat="1" applyFont="1" applyFill="1" applyBorder="1" applyAlignment="1">
      <alignment horizontal="center" vertical="center"/>
    </xf>
    <xf numFmtId="49" fontId="26" fillId="0" borderId="100" xfId="0" applyNumberFormat="1" applyFont="1" applyFill="1" applyBorder="1" applyAlignment="1">
      <alignment horizontal="center" vertical="center"/>
    </xf>
    <xf numFmtId="49" fontId="31" fillId="0" borderId="101" xfId="0" applyNumberFormat="1" applyFont="1" applyFill="1" applyBorder="1" applyAlignment="1">
      <alignment vertical="center"/>
    </xf>
    <xf numFmtId="0" fontId="29" fillId="0" borderId="101" xfId="0" applyFont="1" applyFill="1" applyBorder="1" applyAlignment="1">
      <alignment vertical="center"/>
    </xf>
    <xf numFmtId="4" fontId="31" fillId="0" borderId="102" xfId="0" applyNumberFormat="1" applyFont="1" applyFill="1" applyBorder="1" applyAlignment="1">
      <alignment horizontal="right" vertical="center"/>
    </xf>
    <xf numFmtId="0" fontId="32" fillId="49" borderId="103" xfId="0" applyFont="1" applyFill="1" applyBorder="1" applyAlignment="1">
      <alignment horizontal="center" vertical="center"/>
    </xf>
    <xf numFmtId="49" fontId="31" fillId="50" borderId="71" xfId="0" applyNumberFormat="1" applyFont="1" applyFill="1" applyBorder="1" applyAlignment="1">
      <alignment horizontal="center" vertical="center"/>
    </xf>
    <xf numFmtId="49" fontId="68" fillId="50" borderId="71" xfId="0" applyNumberFormat="1" applyFont="1" applyFill="1" applyBorder="1" applyAlignment="1">
      <alignment horizontal="center" vertical="center"/>
    </xf>
    <xf numFmtId="49" fontId="26" fillId="50" borderId="72" xfId="0" applyNumberFormat="1" applyFont="1" applyFill="1" applyBorder="1" applyAlignment="1">
      <alignment horizontal="center" vertical="center"/>
    </xf>
    <xf numFmtId="0" fontId="31" fillId="50" borderId="30" xfId="0" applyFont="1" applyFill="1" applyBorder="1" applyAlignment="1">
      <alignment vertical="center"/>
    </xf>
    <xf numFmtId="0" fontId="29" fillId="50" borderId="30" xfId="0" applyFont="1" applyFill="1" applyBorder="1" applyAlignment="1">
      <alignment vertical="center"/>
    </xf>
    <xf numFmtId="4" fontId="31" fillId="0" borderId="55" xfId="0" applyNumberFormat="1" applyFont="1" applyBorder="1" applyAlignment="1">
      <alignment horizontal="right" vertical="center"/>
    </xf>
    <xf numFmtId="49" fontId="26" fillId="50" borderId="44" xfId="0" applyNumberFormat="1" applyFont="1" applyFill="1" applyBorder="1" applyAlignment="1">
      <alignment horizontal="center" vertical="center"/>
    </xf>
    <xf numFmtId="4" fontId="29" fillId="0" borderId="46" xfId="0" applyNumberFormat="1" applyFont="1" applyBorder="1" applyAlignment="1">
      <alignment horizontal="right" vertical="center"/>
    </xf>
    <xf numFmtId="1" fontId="29" fillId="49" borderId="25" xfId="0" applyNumberFormat="1" applyFont="1" applyFill="1" applyBorder="1" applyAlignment="1">
      <alignment horizontal="center" vertical="center"/>
    </xf>
    <xf numFmtId="1" fontId="29" fillId="49" borderId="98" xfId="0" applyNumberFormat="1" applyFont="1" applyFill="1" applyBorder="1" applyAlignment="1">
      <alignment horizontal="center" vertical="center"/>
    </xf>
    <xf numFmtId="49" fontId="31" fillId="50" borderId="104" xfId="0" applyNumberFormat="1" applyFont="1" applyFill="1" applyBorder="1" applyAlignment="1">
      <alignment horizontal="center" vertical="center"/>
    </xf>
    <xf numFmtId="49" fontId="68" fillId="50" borderId="104" xfId="0" applyNumberFormat="1" applyFont="1" applyFill="1" applyBorder="1" applyAlignment="1">
      <alignment horizontal="center" vertical="center"/>
    </xf>
    <xf numFmtId="49" fontId="68" fillId="0" borderId="105" xfId="0" applyNumberFormat="1" applyFont="1" applyBorder="1" applyAlignment="1">
      <alignment horizontal="center" vertical="center"/>
    </xf>
    <xf numFmtId="0" fontId="29" fillId="0" borderId="106" xfId="0" applyFont="1" applyBorder="1" applyAlignment="1">
      <alignment horizontal="left" vertical="center"/>
    </xf>
    <xf numFmtId="0" fontId="29" fillId="50" borderId="106" xfId="0" applyFont="1" applyFill="1" applyBorder="1" applyAlignment="1">
      <alignment vertical="center"/>
    </xf>
    <xf numFmtId="4" fontId="29" fillId="0" borderId="107" xfId="0" applyNumberFormat="1" applyFont="1" applyBorder="1" applyAlignment="1">
      <alignment horizontal="right" vertical="center"/>
    </xf>
    <xf numFmtId="49" fontId="68" fillId="0" borderId="72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0" fontId="47" fillId="50" borderId="30" xfId="0" applyFont="1" applyFill="1" applyBorder="1" applyAlignment="1">
      <alignment vertical="center"/>
    </xf>
    <xf numFmtId="49" fontId="59" fillId="50" borderId="33" xfId="0" applyNumberFormat="1" applyFont="1" applyFill="1" applyBorder="1" applyAlignment="1">
      <alignment horizontal="center" vertical="center"/>
    </xf>
    <xf numFmtId="0" fontId="26" fillId="50" borderId="14" xfId="0" applyFont="1" applyFill="1" applyBorder="1" applyAlignment="1">
      <alignment horizontal="left" vertical="center"/>
    </xf>
    <xf numFmtId="0" fontId="29" fillId="5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horizontal="left" vertical="center"/>
    </xf>
    <xf numFmtId="0" fontId="29" fillId="50" borderId="14" xfId="0" applyFont="1" applyFill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1" fontId="29" fillId="49" borderId="16" xfId="0" applyNumberFormat="1" applyFont="1" applyFill="1" applyBorder="1" applyAlignment="1">
      <alignment horizontal="center" vertical="center"/>
    </xf>
    <xf numFmtId="49" fontId="31" fillId="50" borderId="12" xfId="0" applyNumberFormat="1" applyFont="1" applyFill="1" applyBorder="1" applyAlignment="1">
      <alignment horizontal="center" vertical="center"/>
    </xf>
    <xf numFmtId="49" fontId="60" fillId="50" borderId="12" xfId="0" applyNumberFormat="1" applyFont="1" applyFill="1" applyBorder="1" applyAlignment="1">
      <alignment horizontal="center" vertical="center"/>
    </xf>
    <xf numFmtId="49" fontId="26" fillId="50" borderId="13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9" fillId="50" borderId="42" xfId="0" applyFont="1" applyFill="1" applyBorder="1" applyAlignment="1">
      <alignment vertical="center"/>
    </xf>
    <xf numFmtId="4" fontId="29" fillId="50" borderId="34" xfId="0" applyNumberFormat="1" applyFont="1" applyFill="1" applyBorder="1" applyAlignment="1">
      <alignment horizontal="right" vertical="center"/>
    </xf>
    <xf numFmtId="49" fontId="31" fillId="35" borderId="76" xfId="0" applyNumberFormat="1" applyFont="1" applyFill="1" applyBorder="1" applyAlignment="1">
      <alignment horizontal="center" vertical="center"/>
    </xf>
    <xf numFmtId="49" fontId="60" fillId="35" borderId="76" xfId="0" applyNumberFormat="1" applyFont="1" applyFill="1" applyBorder="1" applyAlignment="1">
      <alignment horizontal="center" vertical="center"/>
    </xf>
    <xf numFmtId="49" fontId="59" fillId="35" borderId="77" xfId="0" applyNumberFormat="1" applyFont="1" applyFill="1" applyBorder="1" applyAlignment="1">
      <alignment horizontal="center" vertical="center"/>
    </xf>
    <xf numFmtId="0" fontId="29" fillId="35" borderId="79" xfId="0" applyFont="1" applyFill="1" applyBorder="1" applyAlignment="1">
      <alignment vertical="center"/>
    </xf>
    <xf numFmtId="4" fontId="32" fillId="35" borderId="80" xfId="0" applyNumberFormat="1" applyFont="1" applyFill="1" applyBorder="1" applyAlignment="1">
      <alignment horizontal="right" vertical="center"/>
    </xf>
    <xf numFmtId="1" fontId="32" fillId="49" borderId="99" xfId="0" applyNumberFormat="1" applyFont="1" applyFill="1" applyBorder="1" applyAlignment="1">
      <alignment horizontal="center" vertical="center"/>
    </xf>
    <xf numFmtId="49" fontId="31" fillId="50" borderId="100" xfId="0" applyNumberFormat="1" applyFont="1" applyFill="1" applyBorder="1" applyAlignment="1">
      <alignment horizontal="center" vertical="center"/>
    </xf>
    <xf numFmtId="49" fontId="68" fillId="50" borderId="100" xfId="0" applyNumberFormat="1" applyFont="1" applyFill="1" applyBorder="1" applyAlignment="1">
      <alignment horizontal="center" vertical="center"/>
    </xf>
    <xf numFmtId="49" fontId="68" fillId="0" borderId="108" xfId="0" applyNumberFormat="1" applyFont="1" applyBorder="1" applyAlignment="1">
      <alignment horizontal="center" vertical="center"/>
    </xf>
    <xf numFmtId="0" fontId="31" fillId="0" borderId="101" xfId="0" applyFont="1" applyBorder="1" applyAlignment="1">
      <alignment vertical="center"/>
    </xf>
    <xf numFmtId="0" fontId="47" fillId="50" borderId="101" xfId="0" applyFont="1" applyFill="1" applyBorder="1" applyAlignment="1">
      <alignment vertical="center"/>
    </xf>
    <xf numFmtId="4" fontId="31" fillId="0" borderId="102" xfId="0" applyNumberFormat="1" applyFont="1" applyBorder="1" applyAlignment="1">
      <alignment horizontal="right" vertical="center"/>
    </xf>
    <xf numFmtId="49" fontId="32" fillId="50" borderId="33" xfId="0" applyNumberFormat="1" applyFont="1" applyFill="1" applyBorder="1" applyAlignment="1">
      <alignment horizontal="center" vertical="center"/>
    </xf>
    <xf numFmtId="49" fontId="29" fillId="0" borderId="104" xfId="0" applyNumberFormat="1" applyFont="1" applyBorder="1" applyAlignment="1">
      <alignment horizontal="center" vertical="center"/>
    </xf>
    <xf numFmtId="49" fontId="32" fillId="50" borderId="105" xfId="0" applyNumberFormat="1" applyFont="1" applyFill="1" applyBorder="1" applyAlignment="1">
      <alignment horizontal="center" vertical="center"/>
    </xf>
    <xf numFmtId="0" fontId="29" fillId="0" borderId="106" xfId="0" applyFont="1" applyBorder="1" applyAlignment="1">
      <alignment vertical="center"/>
    </xf>
    <xf numFmtId="1" fontId="32" fillId="49" borderId="103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49" fontId="60" fillId="50" borderId="4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49" fontId="31" fillId="50" borderId="15" xfId="0" applyNumberFormat="1" applyFont="1" applyFill="1" applyBorder="1" applyAlignment="1">
      <alignment horizontal="center" vertical="center"/>
    </xf>
    <xf numFmtId="49" fontId="60" fillId="50" borderId="15" xfId="0" applyNumberFormat="1" applyFont="1" applyFill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vertical="center"/>
    </xf>
    <xf numFmtId="0" fontId="29" fillId="50" borderId="0" xfId="0" applyFont="1" applyFill="1" applyBorder="1" applyAlignment="1">
      <alignment vertical="center"/>
    </xf>
    <xf numFmtId="49" fontId="60" fillId="50" borderId="31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49" fontId="68" fillId="50" borderId="31" xfId="0" applyNumberFormat="1" applyFont="1" applyFill="1" applyBorder="1" applyAlignment="1">
      <alignment horizontal="center" vertical="center"/>
    </xf>
    <xf numFmtId="1" fontId="32" fillId="49" borderId="75" xfId="0" applyNumberFormat="1" applyFont="1" applyFill="1" applyBorder="1" applyAlignment="1">
      <alignment horizontal="center" vertical="center"/>
    </xf>
    <xf numFmtId="49" fontId="31" fillId="35" borderId="77" xfId="0" applyNumberFormat="1" applyFont="1" applyFill="1" applyBorder="1" applyAlignment="1">
      <alignment horizontal="center" vertical="center"/>
    </xf>
    <xf numFmtId="49" fontId="32" fillId="35" borderId="76" xfId="0" applyNumberFormat="1" applyFont="1" applyFill="1" applyBorder="1" applyAlignment="1">
      <alignment horizontal="center" vertical="center"/>
    </xf>
    <xf numFmtId="0" fontId="47" fillId="35" borderId="79" xfId="0" applyFont="1" applyFill="1" applyBorder="1" applyAlignment="1">
      <alignment vertical="center"/>
    </xf>
    <xf numFmtId="49" fontId="68" fillId="0" borderId="12" xfId="0" applyNumberFormat="1" applyFont="1" applyBorder="1" applyAlignment="1">
      <alignment horizontal="center" vertical="center"/>
    </xf>
    <xf numFmtId="49" fontId="59" fillId="50" borderId="12" xfId="0" applyNumberFormat="1" applyFont="1" applyFill="1" applyBorder="1" applyAlignment="1">
      <alignment horizontal="center" vertical="center"/>
    </xf>
    <xf numFmtId="4" fontId="29" fillId="0" borderId="40" xfId="0" applyNumberFormat="1" applyFont="1" applyBorder="1" applyAlignment="1">
      <alignment horizontal="right" vertical="center"/>
    </xf>
    <xf numFmtId="49" fontId="60" fillId="35" borderId="77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4" fontId="31" fillId="0" borderId="46" xfId="0" applyNumberFormat="1" applyFont="1" applyBorder="1" applyAlignment="1">
      <alignment horizontal="right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49" fontId="68" fillId="0" borderId="31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vertical="center"/>
    </xf>
    <xf numFmtId="4" fontId="31" fillId="0" borderId="34" xfId="0" applyNumberFormat="1" applyFont="1" applyFill="1" applyBorder="1" applyAlignment="1">
      <alignment horizontal="right" vertical="center"/>
    </xf>
    <xf numFmtId="49" fontId="47" fillId="35" borderId="76" xfId="0" applyNumberFormat="1" applyFont="1" applyFill="1" applyBorder="1" applyAlignment="1">
      <alignment horizontal="center" vertical="center"/>
    </xf>
    <xf numFmtId="49" fontId="29" fillId="35" borderId="77" xfId="0" applyNumberFormat="1" applyFont="1" applyFill="1" applyBorder="1" applyAlignment="1">
      <alignment horizontal="center" vertical="center"/>
    </xf>
    <xf numFmtId="49" fontId="31" fillId="0" borderId="33" xfId="0" applyNumberFormat="1" applyFont="1" applyBorder="1" applyAlignment="1">
      <alignment horizontal="center" vertical="center"/>
    </xf>
    <xf numFmtId="4" fontId="31" fillId="50" borderId="63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left" vertical="center"/>
    </xf>
    <xf numFmtId="49" fontId="47" fillId="50" borderId="33" xfId="0" applyNumberFormat="1" applyFont="1" applyFill="1" applyBorder="1" applyAlignment="1">
      <alignment horizontal="center" vertical="center"/>
    </xf>
    <xf numFmtId="49" fontId="29" fillId="50" borderId="33" xfId="0" applyNumberFormat="1" applyFont="1" applyFill="1" applyBorder="1" applyAlignment="1">
      <alignment horizontal="center" vertical="center"/>
    </xf>
    <xf numFmtId="49" fontId="31" fillId="50" borderId="3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right" vertical="center"/>
    </xf>
    <xf numFmtId="49" fontId="26" fillId="0" borderId="14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31" fillId="0" borderId="22" xfId="0" applyNumberFormat="1" applyFont="1" applyFill="1" applyBorder="1" applyAlignment="1">
      <alignment horizontal="center" vertical="center"/>
    </xf>
    <xf numFmtId="49" fontId="29" fillId="0" borderId="57" xfId="0" applyNumberFormat="1" applyFont="1" applyFill="1" applyBorder="1" applyAlignment="1">
      <alignment horizontal="center" vertical="center"/>
    </xf>
    <xf numFmtId="49" fontId="26" fillId="0" borderId="57" xfId="0" applyNumberFormat="1" applyFont="1" applyFill="1" applyBorder="1" applyAlignment="1">
      <alignment horizontal="left" vertical="center"/>
    </xf>
    <xf numFmtId="4" fontId="29" fillId="0" borderId="34" xfId="0" applyNumberFormat="1" applyFont="1" applyFill="1" applyBorder="1" applyAlignment="1">
      <alignment horizontal="right" vertical="center"/>
    </xf>
    <xf numFmtId="1" fontId="29" fillId="49" borderId="26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left" vertical="center"/>
    </xf>
    <xf numFmtId="1" fontId="29" fillId="49" borderId="21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left" vertical="center"/>
    </xf>
    <xf numFmtId="0" fontId="29" fillId="0" borderId="42" xfId="0" applyFont="1" applyFill="1" applyBorder="1" applyAlignment="1">
      <alignment vertical="center"/>
    </xf>
    <xf numFmtId="1" fontId="29" fillId="49" borderId="47" xfId="0" applyNumberFormat="1" applyFont="1" applyFill="1" applyBorder="1" applyAlignment="1">
      <alignment horizontal="center" vertical="center"/>
    </xf>
    <xf numFmtId="4" fontId="29" fillId="0" borderId="54" xfId="0" applyNumberFormat="1" applyFont="1" applyFill="1" applyBorder="1" applyAlignment="1">
      <alignment horizontal="right" vertical="center"/>
    </xf>
    <xf numFmtId="49" fontId="29" fillId="35" borderId="76" xfId="0" applyNumberFormat="1" applyFont="1" applyFill="1" applyBorder="1" applyAlignment="1">
      <alignment horizontal="center" vertical="center"/>
    </xf>
    <xf numFmtId="49" fontId="32" fillId="35" borderId="79" xfId="0" applyNumberFormat="1" applyFont="1" applyFill="1" applyBorder="1" applyAlignment="1">
      <alignment horizontal="left" vertical="center"/>
    </xf>
    <xf numFmtId="49" fontId="31" fillId="0" borderId="67" xfId="0" applyNumberFormat="1" applyFont="1" applyFill="1" applyBorder="1" applyAlignment="1">
      <alignment horizontal="center" vertical="center"/>
    </xf>
    <xf numFmtId="49" fontId="47" fillId="0" borderId="67" xfId="0" applyNumberFormat="1" applyFont="1" applyFill="1" applyBorder="1" applyAlignment="1">
      <alignment horizontal="center" vertical="center"/>
    </xf>
    <xf numFmtId="4" fontId="29" fillId="0" borderId="46" xfId="0" applyNumberFormat="1" applyFont="1" applyFill="1" applyBorder="1" applyAlignment="1">
      <alignment horizontal="right" vertical="center"/>
    </xf>
    <xf numFmtId="49" fontId="31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29" fillId="50" borderId="35" xfId="0" applyFont="1" applyFill="1" applyBorder="1" applyAlignment="1">
      <alignment vertical="center"/>
    </xf>
    <xf numFmtId="0" fontId="29" fillId="50" borderId="57" xfId="0" applyFont="1" applyFill="1" applyBorder="1" applyAlignment="1">
      <alignment vertical="center"/>
    </xf>
    <xf numFmtId="49" fontId="31" fillId="50" borderId="50" xfId="0" applyNumberFormat="1" applyFont="1" applyFill="1" applyBorder="1" applyAlignment="1">
      <alignment horizontal="center" vertical="center"/>
    </xf>
    <xf numFmtId="49" fontId="29" fillId="50" borderId="50" xfId="0" applyNumberFormat="1" applyFont="1" applyFill="1" applyBorder="1" applyAlignment="1">
      <alignment horizontal="center" vertical="center"/>
    </xf>
    <xf numFmtId="0" fontId="29" fillId="50" borderId="68" xfId="0" applyFont="1" applyFill="1" applyBorder="1" applyAlignment="1">
      <alignment vertical="center"/>
    </xf>
    <xf numFmtId="49" fontId="31" fillId="50" borderId="13" xfId="0" applyNumberFormat="1" applyFont="1" applyFill="1" applyBorder="1" applyAlignment="1">
      <alignment horizontal="center" vertical="center"/>
    </xf>
    <xf numFmtId="49" fontId="29" fillId="50" borderId="109" xfId="0" applyNumberFormat="1" applyFont="1" applyFill="1" applyBorder="1" applyAlignment="1">
      <alignment horizontal="center" vertical="center"/>
    </xf>
    <xf numFmtId="4" fontId="29" fillId="0" borderId="40" xfId="0" applyNumberFormat="1" applyFont="1" applyFill="1" applyBorder="1" applyAlignment="1">
      <alignment horizontal="right" vertical="center"/>
    </xf>
    <xf numFmtId="0" fontId="32" fillId="26" borderId="77" xfId="0" applyFont="1" applyFill="1" applyBorder="1" applyAlignment="1">
      <alignment horizontal="left" vertical="center"/>
    </xf>
    <xf numFmtId="49" fontId="29" fillId="26" borderId="76" xfId="0" applyNumberFormat="1" applyFont="1" applyFill="1" applyBorder="1" applyAlignment="1">
      <alignment horizontal="center" vertical="center"/>
    </xf>
    <xf numFmtId="0" fontId="32" fillId="26" borderId="48" xfId="0" applyFont="1" applyFill="1" applyBorder="1" applyAlignment="1">
      <alignment horizontal="left" vertical="center"/>
    </xf>
    <xf numFmtId="0" fontId="29" fillId="26" borderId="87" xfId="0" applyFont="1" applyFill="1" applyBorder="1" applyAlignment="1">
      <alignment vertical="center"/>
    </xf>
    <xf numFmtId="0" fontId="32" fillId="35" borderId="77" xfId="0" applyFont="1" applyFill="1" applyBorder="1" applyAlignment="1">
      <alignment horizontal="left" vertical="center"/>
    </xf>
    <xf numFmtId="0" fontId="29" fillId="35" borderId="87" xfId="0" applyFont="1" applyFill="1" applyBorder="1" applyAlignment="1">
      <alignment vertical="center"/>
    </xf>
    <xf numFmtId="49" fontId="31" fillId="50" borderId="22" xfId="0" applyNumberFormat="1" applyFont="1" applyFill="1" applyBorder="1" applyAlignment="1">
      <alignment horizontal="center" vertical="center"/>
    </xf>
    <xf numFmtId="49" fontId="29" fillId="50" borderId="15" xfId="0" applyNumberFormat="1" applyFont="1" applyFill="1" applyBorder="1" applyAlignment="1">
      <alignment horizontal="center" vertical="center"/>
    </xf>
    <xf numFmtId="0" fontId="29" fillId="50" borderId="15" xfId="0" applyFont="1" applyFill="1" applyBorder="1" applyAlignment="1">
      <alignment horizontal="left" vertical="center"/>
    </xf>
    <xf numFmtId="1" fontId="32" fillId="3" borderId="75" xfId="0" applyNumberFormat="1" applyFont="1" applyFill="1" applyBorder="1" applyAlignment="1">
      <alignment horizontal="center" vertical="center"/>
    </xf>
    <xf numFmtId="49" fontId="31" fillId="3" borderId="76" xfId="0" applyNumberFormat="1" applyFont="1" applyFill="1" applyBorder="1" applyAlignment="1">
      <alignment horizontal="center" vertical="center"/>
    </xf>
    <xf numFmtId="49" fontId="31" fillId="3" borderId="77" xfId="0" applyNumberFormat="1" applyFont="1" applyFill="1" applyBorder="1" applyAlignment="1">
      <alignment horizontal="center" vertical="center"/>
    </xf>
    <xf numFmtId="49" fontId="32" fillId="3" borderId="77" xfId="0" applyNumberFormat="1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vertical="center"/>
    </xf>
    <xf numFmtId="0" fontId="32" fillId="3" borderId="79" xfId="0" applyFont="1" applyFill="1" applyBorder="1" applyAlignment="1">
      <alignment vertical="center"/>
    </xf>
    <xf numFmtId="4" fontId="32" fillId="3" borderId="80" xfId="0" applyNumberFormat="1" applyFont="1" applyFill="1" applyBorder="1" applyAlignment="1">
      <alignment horizontal="right" vertical="center"/>
    </xf>
    <xf numFmtId="4" fontId="24" fillId="50" borderId="19" xfId="0" applyNumberFormat="1" applyFont="1" applyFill="1" applyBorder="1" applyAlignment="1">
      <alignment vertical="center" wrapText="1"/>
    </xf>
    <xf numFmtId="1" fontId="40" fillId="49" borderId="26" xfId="0" applyNumberFormat="1" applyFont="1" applyFill="1" applyBorder="1" applyAlignment="1">
      <alignment horizontal="center" vertical="center"/>
    </xf>
    <xf numFmtId="49" fontId="32" fillId="35" borderId="15" xfId="0" applyNumberFormat="1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49" fontId="29" fillId="0" borderId="58" xfId="0" applyNumberFormat="1" applyFont="1" applyFill="1" applyBorder="1" applyAlignment="1">
      <alignment horizontal="center" vertical="center"/>
    </xf>
    <xf numFmtId="0" fontId="47" fillId="0" borderId="109" xfId="0" applyFont="1" applyFill="1" applyBorder="1" applyAlignment="1">
      <alignment horizontal="center" vertical="center"/>
    </xf>
    <xf numFmtId="49" fontId="47" fillId="0" borderId="64" xfId="0" applyNumberFormat="1" applyFont="1" applyFill="1" applyBorder="1" applyAlignment="1">
      <alignment horizontal="center" vertical="center"/>
    </xf>
    <xf numFmtId="0" fontId="31" fillId="50" borderId="79" xfId="0" applyFont="1" applyFill="1" applyBorder="1" applyAlignment="1">
      <alignment vertical="center"/>
    </xf>
    <xf numFmtId="0" fontId="47" fillId="50" borderId="19" xfId="0" applyFont="1" applyFill="1" applyBorder="1" applyAlignment="1">
      <alignment vertical="center"/>
    </xf>
    <xf numFmtId="0" fontId="29" fillId="0" borderId="44" xfId="0" applyFont="1" applyFill="1" applyBorder="1" applyAlignment="1">
      <alignment horizontal="center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center" vertical="center"/>
    </xf>
    <xf numFmtId="1" fontId="40" fillId="49" borderId="21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horizontal="center" vertical="center"/>
    </xf>
    <xf numFmtId="0" fontId="47" fillId="50" borderId="42" xfId="0" applyFont="1" applyFill="1" applyBorder="1" applyAlignment="1">
      <alignment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32" fillId="50" borderId="79" xfId="0" applyFont="1" applyFill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49" fontId="73" fillId="49" borderId="26" xfId="0" applyNumberFormat="1" applyFont="1" applyFill="1" applyBorder="1" applyAlignment="1">
      <alignment horizontal="center" vertical="center"/>
    </xf>
    <xf numFmtId="0" fontId="29" fillId="50" borderId="42" xfId="0" applyFont="1" applyFill="1" applyBorder="1" applyAlignment="1">
      <alignment vertical="center"/>
    </xf>
    <xf numFmtId="0" fontId="32" fillId="35" borderId="29" xfId="0" applyFont="1" applyFill="1" applyBorder="1" applyAlignment="1">
      <alignment vertical="center"/>
    </xf>
    <xf numFmtId="0" fontId="32" fillId="35" borderId="42" xfId="0" applyFont="1" applyFill="1" applyBorder="1" applyAlignment="1">
      <alignment vertical="center"/>
    </xf>
    <xf numFmtId="1" fontId="40" fillId="49" borderId="47" xfId="0" applyNumberFormat="1" applyFont="1" applyFill="1" applyBorder="1" applyAlignment="1">
      <alignment horizontal="center" vertical="center"/>
    </xf>
    <xf numFmtId="4" fontId="31" fillId="7" borderId="51" xfId="0" applyNumberFormat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4" fontId="32" fillId="14" borderId="20" xfId="0" applyNumberFormat="1" applyFont="1" applyFill="1" applyBorder="1" applyAlignment="1">
      <alignment vertical="center"/>
    </xf>
    <xf numFmtId="0" fontId="32" fillId="35" borderId="20" xfId="0" applyFont="1" applyFill="1" applyBorder="1" applyAlignment="1">
      <alignment vertical="center"/>
    </xf>
    <xf numFmtId="4" fontId="32" fillId="35" borderId="20" xfId="0" applyNumberFormat="1" applyFont="1" applyFill="1" applyBorder="1" applyAlignment="1">
      <alignment horizontal="right" vertical="center"/>
    </xf>
    <xf numFmtId="49" fontId="40" fillId="49" borderId="47" xfId="0" applyNumberFormat="1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50" borderId="53" xfId="0" applyFont="1" applyFill="1" applyBorder="1" applyAlignment="1">
      <alignment vertical="center"/>
    </xf>
    <xf numFmtId="4" fontId="29" fillId="0" borderId="70" xfId="0" applyNumberFormat="1" applyFont="1" applyFill="1" applyBorder="1" applyAlignment="1">
      <alignment horizontal="right" vertical="center"/>
    </xf>
    <xf numFmtId="4" fontId="31" fillId="0" borderId="80" xfId="0" applyNumberFormat="1" applyFont="1" applyFill="1" applyBorder="1" applyAlignment="1">
      <alignment horizontal="right" vertical="center"/>
    </xf>
    <xf numFmtId="4" fontId="32" fillId="0" borderId="80" xfId="0" applyNumberFormat="1" applyFont="1" applyFill="1" applyBorder="1" applyAlignment="1">
      <alignment horizontal="right" vertical="center"/>
    </xf>
    <xf numFmtId="4" fontId="32" fillId="0" borderId="78" xfId="0" applyNumberFormat="1" applyFont="1" applyFill="1" applyBorder="1" applyAlignment="1">
      <alignment horizontal="right" vertical="center"/>
    </xf>
    <xf numFmtId="4" fontId="32" fillId="0" borderId="110" xfId="0" applyNumberFormat="1" applyFont="1" applyFill="1" applyBorder="1" applyAlignment="1">
      <alignment horizontal="right" vertical="center"/>
    </xf>
    <xf numFmtId="1" fontId="40" fillId="49" borderId="26" xfId="0" applyNumberFormat="1" applyFont="1" applyFill="1" applyBorder="1" applyAlignment="1">
      <alignment horizontal="center" vertical="center"/>
    </xf>
    <xf numFmtId="4" fontId="32" fillId="14" borderId="82" xfId="0" applyNumberFormat="1" applyFont="1" applyFill="1" applyBorder="1" applyAlignment="1">
      <alignment vertical="center"/>
    </xf>
    <xf numFmtId="49" fontId="32" fillId="35" borderId="12" xfId="0" applyNumberFormat="1" applyFont="1" applyFill="1" applyBorder="1" applyAlignment="1">
      <alignment horizontal="left" vertical="center"/>
    </xf>
    <xf numFmtId="4" fontId="29" fillId="0" borderId="20" xfId="0" applyNumberFormat="1" applyFont="1" applyFill="1" applyBorder="1" applyAlignment="1">
      <alignment horizontal="right" vertical="center"/>
    </xf>
    <xf numFmtId="49" fontId="40" fillId="49" borderId="26" xfId="0" applyNumberFormat="1" applyFont="1" applyFill="1" applyBorder="1" applyAlignment="1">
      <alignment horizontal="center" vertical="center"/>
    </xf>
    <xf numFmtId="49" fontId="29" fillId="50" borderId="29" xfId="0" applyNumberFormat="1" applyFont="1" applyFill="1" applyBorder="1" applyAlignment="1">
      <alignment horizontal="center" vertical="center"/>
    </xf>
    <xf numFmtId="4" fontId="29" fillId="50" borderId="20" xfId="0" applyNumberFormat="1" applyFont="1" applyFill="1" applyBorder="1" applyAlignment="1">
      <alignment horizontal="right" vertical="center"/>
    </xf>
    <xf numFmtId="4" fontId="32" fillId="14" borderId="23" xfId="0" applyNumberFormat="1" applyFont="1" applyFill="1" applyBorder="1" applyAlignment="1">
      <alignment vertical="center"/>
    </xf>
    <xf numFmtId="0" fontId="29" fillId="50" borderId="19" xfId="0" applyFont="1" applyFill="1" applyBorder="1" applyAlignment="1">
      <alignment vertical="center"/>
    </xf>
    <xf numFmtId="0" fontId="10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4" fontId="29" fillId="0" borderId="23" xfId="0" applyNumberFormat="1" applyFont="1" applyFill="1" applyBorder="1" applyAlignment="1">
      <alignment horizontal="right" vertical="center"/>
    </xf>
    <xf numFmtId="0" fontId="31" fillId="14" borderId="33" xfId="0" applyFont="1" applyFill="1" applyBorder="1" applyAlignment="1">
      <alignment horizontal="center" vertical="center"/>
    </xf>
    <xf numFmtId="49" fontId="31" fillId="14" borderId="14" xfId="0" applyNumberFormat="1" applyFont="1" applyFill="1" applyBorder="1" applyAlignment="1">
      <alignment horizontal="left" vertical="center"/>
    </xf>
    <xf numFmtId="0" fontId="29" fillId="18" borderId="14" xfId="0" applyFont="1" applyFill="1" applyBorder="1" applyAlignment="1">
      <alignment vertical="center"/>
    </xf>
    <xf numFmtId="4" fontId="32" fillId="14" borderId="46" xfId="0" applyNumberFormat="1" applyFont="1" applyFill="1" applyBorder="1" applyAlignment="1">
      <alignment horizontal="right" vertical="center"/>
    </xf>
    <xf numFmtId="4" fontId="32" fillId="14" borderId="23" xfId="0" applyNumberFormat="1" applyFont="1" applyFill="1" applyBorder="1" applyAlignment="1">
      <alignment horizontal="right" vertical="center"/>
    </xf>
    <xf numFmtId="49" fontId="32" fillId="35" borderId="44" xfId="0" applyNumberFormat="1" applyFont="1" applyFill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50" borderId="0" xfId="0" applyFont="1" applyFill="1" applyBorder="1" applyAlignment="1">
      <alignment vertical="center"/>
    </xf>
    <xf numFmtId="0" fontId="29" fillId="50" borderId="35" xfId="0" applyFont="1" applyFill="1" applyBorder="1" applyAlignment="1">
      <alignment vertical="center"/>
    </xf>
    <xf numFmtId="0" fontId="76" fillId="0" borderId="42" xfId="0" applyFont="1" applyFill="1" applyBorder="1" applyAlignment="1">
      <alignment vertical="center"/>
    </xf>
    <xf numFmtId="0" fontId="29" fillId="0" borderId="14" xfId="0" applyFont="1" applyFill="1" applyBorder="1" applyAlignment="1">
      <alignment/>
    </xf>
    <xf numFmtId="0" fontId="44" fillId="36" borderId="81" xfId="0" applyFont="1" applyFill="1" applyBorder="1" applyAlignment="1">
      <alignment vertical="center"/>
    </xf>
    <xf numFmtId="0" fontId="40" fillId="11" borderId="20" xfId="0" applyFont="1" applyFill="1" applyBorder="1" applyAlignment="1">
      <alignment vertical="center"/>
    </xf>
    <xf numFmtId="0" fontId="63" fillId="36" borderId="82" xfId="0" applyFont="1" applyFill="1" applyBorder="1" applyAlignment="1">
      <alignment horizontal="center" vertical="center"/>
    </xf>
    <xf numFmtId="0" fontId="24" fillId="50" borderId="23" xfId="0" applyFont="1" applyFill="1" applyBorder="1" applyAlignment="1">
      <alignment vertical="center" wrapText="1"/>
    </xf>
    <xf numFmtId="49" fontId="29" fillId="0" borderId="109" xfId="0" applyNumberFormat="1" applyFont="1" applyFill="1" applyBorder="1" applyAlignment="1">
      <alignment horizontal="center" vertical="center"/>
    </xf>
    <xf numFmtId="4" fontId="34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29" fillId="0" borderId="19" xfId="0" applyFont="1" applyFill="1" applyBorder="1" applyAlignment="1">
      <alignment vertical="center" wrapText="1"/>
    </xf>
    <xf numFmtId="49" fontId="26" fillId="0" borderId="33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42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 wrapText="1"/>
    </xf>
    <xf numFmtId="49" fontId="26" fillId="0" borderId="44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4" fontId="59" fillId="12" borderId="46" xfId="0" applyNumberFormat="1" applyFont="1" applyFill="1" applyBorder="1" applyAlignment="1">
      <alignment horizontal="right" vertical="center"/>
    </xf>
    <xf numFmtId="4" fontId="59" fillId="56" borderId="46" xfId="0" applyNumberFormat="1" applyFont="1" applyFill="1" applyBorder="1" applyAlignment="1">
      <alignment horizontal="right" vertical="center"/>
    </xf>
    <xf numFmtId="4" fontId="59" fillId="19" borderId="45" xfId="0" applyNumberFormat="1" applyFont="1" applyFill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4" fontId="26" fillId="0" borderId="45" xfId="0" applyNumberFormat="1" applyFont="1" applyBorder="1" applyAlignment="1">
      <alignment horizontal="right" vertical="center"/>
    </xf>
    <xf numFmtId="0" fontId="68" fillId="0" borderId="35" xfId="0" applyFont="1" applyBorder="1" applyAlignment="1">
      <alignment horizontal="left" vertical="center"/>
    </xf>
    <xf numFmtId="0" fontId="68" fillId="0" borderId="35" xfId="0" applyFont="1" applyBorder="1" applyAlignment="1">
      <alignment vertical="center"/>
    </xf>
    <xf numFmtId="4" fontId="26" fillId="0" borderId="45" xfId="0" applyNumberFormat="1" applyFont="1" applyFill="1" applyBorder="1" applyAlignment="1">
      <alignment horizontal="right" vertical="center"/>
    </xf>
    <xf numFmtId="0" fontId="68" fillId="50" borderId="35" xfId="0" applyFont="1" applyFill="1" applyBorder="1" applyAlignment="1">
      <alignment vertical="center"/>
    </xf>
    <xf numFmtId="4" fontId="26" fillId="50" borderId="45" xfId="0" applyNumberFormat="1" applyFont="1" applyFill="1" applyBorder="1" applyAlignment="1">
      <alignment horizontal="right" vertical="center"/>
    </xf>
    <xf numFmtId="0" fontId="68" fillId="0" borderId="57" xfId="0" applyFont="1" applyBorder="1" applyAlignment="1">
      <alignment vertical="center"/>
    </xf>
    <xf numFmtId="4" fontId="26" fillId="0" borderId="34" xfId="0" applyNumberFormat="1" applyFont="1" applyFill="1" applyBorder="1" applyAlignment="1">
      <alignment horizontal="right" vertical="center"/>
    </xf>
    <xf numFmtId="0" fontId="60" fillId="11" borderId="79" xfId="0" applyFont="1" applyFill="1" applyBorder="1" applyAlignment="1">
      <alignment vertical="center"/>
    </xf>
    <xf numFmtId="4" fontId="59" fillId="11" borderId="80" xfId="0" applyNumberFormat="1" applyFont="1" applyFill="1" applyBorder="1" applyAlignment="1">
      <alignment horizontal="right" vertical="center"/>
    </xf>
    <xf numFmtId="4" fontId="59" fillId="0" borderId="45" xfId="0" applyNumberFormat="1" applyFont="1" applyBorder="1" applyAlignment="1">
      <alignment horizontal="right" vertical="center"/>
    </xf>
    <xf numFmtId="4" fontId="26" fillId="0" borderId="34" xfId="0" applyNumberFormat="1" applyFont="1" applyBorder="1" applyAlignment="1">
      <alignment horizontal="right" vertical="center"/>
    </xf>
    <xf numFmtId="0" fontId="59" fillId="0" borderId="86" xfId="0" applyFont="1" applyBorder="1" applyAlignment="1">
      <alignment vertical="center"/>
    </xf>
    <xf numFmtId="4" fontId="59" fillId="0" borderId="46" xfId="0" applyNumberFormat="1" applyFont="1" applyBorder="1" applyAlignment="1">
      <alignment horizontal="right" vertical="center"/>
    </xf>
    <xf numFmtId="0" fontId="59" fillId="0" borderId="32" xfId="0" applyFont="1" applyBorder="1" applyAlignment="1">
      <alignment vertical="center"/>
    </xf>
    <xf numFmtId="0" fontId="59" fillId="0" borderId="111" xfId="0" applyFont="1" applyBorder="1" applyAlignment="1">
      <alignment vertical="center"/>
    </xf>
    <xf numFmtId="4" fontId="59" fillId="0" borderId="34" xfId="0" applyNumberFormat="1" applyFont="1" applyBorder="1" applyAlignment="1">
      <alignment horizontal="right" vertical="center"/>
    </xf>
    <xf numFmtId="0" fontId="60" fillId="33" borderId="112" xfId="0" applyFont="1" applyFill="1" applyBorder="1" applyAlignment="1">
      <alignment vertical="center"/>
    </xf>
    <xf numFmtId="4" fontId="59" fillId="33" borderId="107" xfId="0" applyNumberFormat="1" applyFont="1" applyFill="1" applyBorder="1" applyAlignment="1">
      <alignment horizontal="right" vertical="center"/>
    </xf>
    <xf numFmtId="0" fontId="60" fillId="49" borderId="56" xfId="0" applyFont="1" applyFill="1" applyBorder="1" applyAlignment="1">
      <alignment vertical="center"/>
    </xf>
    <xf numFmtId="4" fontId="60" fillId="49" borderId="55" xfId="0" applyNumberFormat="1" applyFont="1" applyFill="1" applyBorder="1" applyAlignment="1">
      <alignment horizontal="right" vertical="center"/>
    </xf>
    <xf numFmtId="0" fontId="59" fillId="7" borderId="86" xfId="0" applyFont="1" applyFill="1" applyBorder="1" applyAlignment="1">
      <alignment vertical="center"/>
    </xf>
    <xf numFmtId="4" fontId="59" fillId="7" borderId="46" xfId="0" applyNumberFormat="1" applyFont="1" applyFill="1" applyBorder="1" applyAlignment="1">
      <alignment horizontal="right" vertical="center"/>
    </xf>
    <xf numFmtId="0" fontId="26" fillId="0" borderId="86" xfId="0" applyFont="1" applyFill="1" applyBorder="1" applyAlignment="1">
      <alignment vertical="center"/>
    </xf>
    <xf numFmtId="0" fontId="26" fillId="0" borderId="86" xfId="0" applyFont="1" applyFill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112" xfId="0" applyFont="1" applyBorder="1" applyAlignment="1">
      <alignment vertical="center"/>
    </xf>
    <xf numFmtId="4" fontId="26" fillId="0" borderId="107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" fontId="29" fillId="0" borderId="60" xfId="0" applyNumberFormat="1" applyFont="1" applyBorder="1" applyAlignment="1">
      <alignment horizontal="right" vertical="center"/>
    </xf>
    <xf numFmtId="49" fontId="68" fillId="0" borderId="22" xfId="0" applyNumberFormat="1" applyFont="1" applyFill="1" applyBorder="1" applyAlignment="1">
      <alignment horizontal="center" vertical="center"/>
    </xf>
    <xf numFmtId="4" fontId="29" fillId="55" borderId="34" xfId="0" applyNumberFormat="1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vertical="center"/>
    </xf>
    <xf numFmtId="0" fontId="26" fillId="51" borderId="25" xfId="0" applyFont="1" applyFill="1" applyBorder="1" applyAlignment="1">
      <alignment horizontal="center" vertical="center"/>
    </xf>
    <xf numFmtId="0" fontId="26" fillId="51" borderId="26" xfId="0" applyFont="1" applyFill="1" applyBorder="1" applyAlignment="1">
      <alignment horizontal="center" vertical="center"/>
    </xf>
    <xf numFmtId="0" fontId="26" fillId="51" borderId="21" xfId="0" applyFont="1" applyFill="1" applyBorder="1" applyAlignment="1">
      <alignment horizontal="center" vertical="center"/>
    </xf>
    <xf numFmtId="0" fontId="26" fillId="51" borderId="75" xfId="0" applyFont="1" applyFill="1" applyBorder="1" applyAlignment="1">
      <alignment horizontal="center" vertical="center"/>
    </xf>
    <xf numFmtId="0" fontId="26" fillId="51" borderId="16" xfId="0" applyFont="1" applyFill="1" applyBorder="1" applyAlignment="1">
      <alignment horizontal="center" vertical="center"/>
    </xf>
    <xf numFmtId="0" fontId="26" fillId="51" borderId="103" xfId="0" applyFont="1" applyFill="1" applyBorder="1" applyAlignment="1">
      <alignment horizontal="center" vertical="center"/>
    </xf>
    <xf numFmtId="0" fontId="26" fillId="51" borderId="98" xfId="0" applyFont="1" applyFill="1" applyBorder="1" applyAlignment="1">
      <alignment horizontal="center" vertical="center"/>
    </xf>
    <xf numFmtId="0" fontId="32" fillId="12" borderId="86" xfId="0" applyFont="1" applyFill="1" applyBorder="1" applyAlignment="1">
      <alignment vertical="center"/>
    </xf>
    <xf numFmtId="0" fontId="32" fillId="19" borderId="35" xfId="0" applyFont="1" applyFill="1" applyBorder="1" applyAlignment="1">
      <alignment vertical="center"/>
    </xf>
    <xf numFmtId="0" fontId="32" fillId="56" borderId="32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9" fillId="50" borderId="44" xfId="0" applyFont="1" applyFill="1" applyBorder="1" applyAlignment="1">
      <alignment horizontal="left" vertical="center"/>
    </xf>
    <xf numFmtId="4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3" fontId="7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9" fontId="74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2" fillId="46" borderId="40" xfId="0" applyFont="1" applyFill="1" applyBorder="1" applyAlignment="1">
      <alignment horizontal="center"/>
    </xf>
    <xf numFmtId="49" fontId="29" fillId="0" borderId="77" xfId="0" applyNumberFormat="1" applyFont="1" applyFill="1" applyBorder="1" applyAlignment="1">
      <alignment horizontal="center" vertical="center"/>
    </xf>
    <xf numFmtId="0" fontId="29" fillId="50" borderId="42" xfId="0" applyFont="1" applyFill="1" applyBorder="1" applyAlignment="1">
      <alignment vertical="center" wrapText="1"/>
    </xf>
    <xf numFmtId="0" fontId="29" fillId="0" borderId="38" xfId="0" applyFont="1" applyFill="1" applyBorder="1" applyAlignment="1">
      <alignment vertical="center"/>
    </xf>
    <xf numFmtId="49" fontId="31" fillId="0" borderId="67" xfId="0" applyNumberFormat="1" applyFont="1" applyFill="1" applyBorder="1" applyAlignment="1">
      <alignment horizontal="center" vertical="center" textRotation="90"/>
    </xf>
    <xf numFmtId="49" fontId="31" fillId="0" borderId="15" xfId="0" applyNumberFormat="1" applyFont="1" applyFill="1" applyBorder="1" applyAlignment="1">
      <alignment horizontal="center" vertical="center" textRotation="90"/>
    </xf>
    <xf numFmtId="2" fontId="34" fillId="0" borderId="0" xfId="0" applyNumberFormat="1" applyFont="1" applyAlignment="1">
      <alignment vertical="center"/>
    </xf>
    <xf numFmtId="1" fontId="29" fillId="49" borderId="113" xfId="0" applyNumberFormat="1" applyFont="1" applyFill="1" applyBorder="1" applyAlignment="1">
      <alignment horizontal="center" vertical="center"/>
    </xf>
    <xf numFmtId="49" fontId="31" fillId="0" borderId="109" xfId="0" applyNumberFormat="1" applyFont="1" applyFill="1" applyBorder="1" applyAlignment="1">
      <alignment horizontal="center" vertical="center"/>
    </xf>
    <xf numFmtId="49" fontId="29" fillId="0" borderId="109" xfId="0" applyNumberFormat="1" applyFont="1" applyFill="1" applyBorder="1" applyAlignment="1">
      <alignment horizontal="center" vertical="center"/>
    </xf>
    <xf numFmtId="4" fontId="29" fillId="0" borderId="49" xfId="0" applyNumberFormat="1" applyFont="1" applyFill="1" applyBorder="1" applyAlignment="1">
      <alignment horizontal="right" vertical="center"/>
    </xf>
    <xf numFmtId="0" fontId="26" fillId="0" borderId="57" xfId="0" applyFont="1" applyBorder="1" applyAlignment="1">
      <alignment vertical="center" wrapText="1"/>
    </xf>
    <xf numFmtId="4" fontId="29" fillId="0" borderId="0" xfId="0" applyNumberFormat="1" applyFont="1" applyFill="1" applyBorder="1" applyAlignment="1">
      <alignment horizontal="right" vertical="center"/>
    </xf>
    <xf numFmtId="4" fontId="108" fillId="0" borderId="0" xfId="0" applyNumberFormat="1" applyFont="1" applyAlignment="1">
      <alignment vertical="center" wrapText="1"/>
    </xf>
    <xf numFmtId="4" fontId="109" fillId="0" borderId="0" xfId="0" applyNumberFormat="1" applyFont="1" applyAlignment="1">
      <alignment horizontal="left" vertical="center"/>
    </xf>
    <xf numFmtId="0" fontId="78" fillId="14" borderId="19" xfId="0" applyFont="1" applyFill="1" applyBorder="1" applyAlignment="1">
      <alignment vertical="center"/>
    </xf>
    <xf numFmtId="4" fontId="24" fillId="11" borderId="33" xfId="0" applyNumberFormat="1" applyFont="1" applyFill="1" applyBorder="1" applyAlignment="1">
      <alignment horizontal="center" vertical="center"/>
    </xf>
    <xf numFmtId="3" fontId="47" fillId="11" borderId="29" xfId="0" applyNumberFormat="1" applyFont="1" applyFill="1" applyBorder="1" applyAlignment="1">
      <alignment horizontal="center" vertical="center"/>
    </xf>
    <xf numFmtId="4" fontId="24" fillId="11" borderId="34" xfId="0" applyNumberFormat="1" applyFont="1" applyFill="1" applyBorder="1" applyAlignment="1">
      <alignment horizontal="right" vertical="center"/>
    </xf>
    <xf numFmtId="4" fontId="34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4" fontId="59" fillId="3" borderId="37" xfId="0" applyNumberFormat="1" applyFont="1" applyFill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6" fillId="21" borderId="72" xfId="0" applyFont="1" applyFill="1" applyBorder="1" applyAlignment="1">
      <alignment horizontal="center" vertical="center"/>
    </xf>
    <xf numFmtId="4" fontId="59" fillId="21" borderId="71" xfId="0" applyNumberFormat="1" applyFont="1" applyFill="1" applyBorder="1" applyAlignment="1">
      <alignment horizontal="right" vertical="center"/>
    </xf>
    <xf numFmtId="0" fontId="79" fillId="21" borderId="43" xfId="0" applyFont="1" applyFill="1" applyBorder="1" applyAlignment="1">
      <alignment vertical="center"/>
    </xf>
    <xf numFmtId="0" fontId="31" fillId="3" borderId="37" xfId="0" applyFont="1" applyFill="1" applyBorder="1" applyAlignment="1">
      <alignment vertical="center"/>
    </xf>
    <xf numFmtId="0" fontId="59" fillId="3" borderId="37" xfId="0" applyFont="1" applyFill="1" applyBorder="1" applyAlignment="1">
      <alignment horizontal="center" vertical="center"/>
    </xf>
    <xf numFmtId="4" fontId="23" fillId="3" borderId="37" xfId="0" applyNumberFormat="1" applyFont="1" applyFill="1" applyBorder="1" applyAlignment="1">
      <alignment horizontal="right" vertical="center"/>
    </xf>
    <xf numFmtId="0" fontId="68" fillId="51" borderId="103" xfId="0" applyFont="1" applyFill="1" applyBorder="1" applyAlignment="1">
      <alignment horizontal="center" vertical="center"/>
    </xf>
    <xf numFmtId="0" fontId="68" fillId="0" borderId="43" xfId="0" applyFont="1" applyBorder="1" applyAlignment="1">
      <alignment vertical="center"/>
    </xf>
    <xf numFmtId="4" fontId="68" fillId="0" borderId="55" xfId="0" applyNumberFormat="1" applyFont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50" borderId="68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/>
    </xf>
    <xf numFmtId="4" fontId="24" fillId="0" borderId="69" xfId="0" applyNumberFormat="1" applyFont="1" applyFill="1" applyBorder="1" applyAlignment="1">
      <alignment horizontal="right" vertical="center"/>
    </xf>
    <xf numFmtId="49" fontId="27" fillId="35" borderId="31" xfId="0" applyNumberFormat="1" applyFont="1" applyFill="1" applyBorder="1" applyAlignment="1">
      <alignment horizontal="center" vertical="center"/>
    </xf>
    <xf numFmtId="4" fontId="23" fillId="35" borderId="15" xfId="0" applyNumberFormat="1" applyFont="1" applyFill="1" applyBorder="1" applyAlignment="1">
      <alignment vertical="center"/>
    </xf>
    <xf numFmtId="4" fontId="24" fillId="0" borderId="50" xfId="0" applyNumberFormat="1" applyFont="1" applyFill="1" applyBorder="1" applyAlignment="1">
      <alignment horizontal="center" vertical="center"/>
    </xf>
    <xf numFmtId="3" fontId="47" fillId="0" borderId="58" xfId="0" applyNumberFormat="1" applyFont="1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vertical="center" wrapText="1"/>
    </xf>
    <xf numFmtId="0" fontId="26" fillId="19" borderId="103" xfId="0" applyFont="1" applyFill="1" applyBorder="1" applyAlignment="1">
      <alignment horizontal="center" vertical="center"/>
    </xf>
    <xf numFmtId="4" fontId="59" fillId="19" borderId="55" xfId="0" applyNumberFormat="1" applyFont="1" applyFill="1" applyBorder="1" applyAlignment="1">
      <alignment horizontal="right" vertical="center"/>
    </xf>
    <xf numFmtId="0" fontId="31" fillId="19" borderId="43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49" fontId="31" fillId="0" borderId="114" xfId="0" applyNumberFormat="1" applyFont="1" applyFill="1" applyBorder="1" applyAlignment="1">
      <alignment horizontal="center" vertical="center"/>
    </xf>
    <xf numFmtId="49" fontId="29" fillId="0" borderId="67" xfId="0" applyNumberFormat="1" applyFont="1" applyFill="1" applyBorder="1" applyAlignment="1">
      <alignment horizontal="center" vertical="center"/>
    </xf>
    <xf numFmtId="0" fontId="29" fillId="50" borderId="41" xfId="0" applyFont="1" applyFill="1" applyBorder="1" applyAlignment="1">
      <alignment vertical="center" wrapText="1"/>
    </xf>
    <xf numFmtId="4" fontId="106" fillId="0" borderId="20" xfId="0" applyNumberFormat="1" applyFont="1" applyFill="1" applyBorder="1" applyAlignment="1">
      <alignment horizontal="right" vertical="center"/>
    </xf>
    <xf numFmtId="49" fontId="68" fillId="50" borderId="13" xfId="0" applyNumberFormat="1" applyFont="1" applyFill="1" applyBorder="1" applyAlignment="1">
      <alignment horizontal="center" vertical="center"/>
    </xf>
    <xf numFmtId="49" fontId="68" fillId="50" borderId="15" xfId="0" applyNumberFormat="1" applyFont="1" applyFill="1" applyBorder="1" applyAlignment="1">
      <alignment horizontal="center" vertical="center"/>
    </xf>
    <xf numFmtId="1" fontId="32" fillId="49" borderId="16" xfId="0" applyNumberFormat="1" applyFont="1" applyFill="1" applyBorder="1" applyAlignment="1">
      <alignment horizontal="center" vertical="center"/>
    </xf>
    <xf numFmtId="0" fontId="32" fillId="0" borderId="115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vertical="center"/>
    </xf>
    <xf numFmtId="4" fontId="29" fillId="0" borderId="63" xfId="0" applyNumberFormat="1" applyFont="1" applyFill="1" applyBorder="1" applyAlignment="1">
      <alignment horizontal="right" vertical="center"/>
    </xf>
    <xf numFmtId="0" fontId="82" fillId="0" borderId="0" xfId="0" applyFont="1" applyAlignment="1">
      <alignment/>
    </xf>
    <xf numFmtId="4" fontId="26" fillId="0" borderId="0" xfId="0" applyNumberFormat="1" applyFont="1" applyFill="1" applyBorder="1" applyAlignment="1">
      <alignment horizontal="left" vertical="center"/>
    </xf>
    <xf numFmtId="0" fontId="82" fillId="0" borderId="110" xfId="0" applyFont="1" applyBorder="1" applyAlignment="1">
      <alignment/>
    </xf>
    <xf numFmtId="0" fontId="82" fillId="0" borderId="35" xfId="0" applyFont="1" applyBorder="1" applyAlignment="1">
      <alignment/>
    </xf>
    <xf numFmtId="0" fontId="82" fillId="0" borderId="31" xfId="0" applyFont="1" applyBorder="1" applyAlignment="1">
      <alignment/>
    </xf>
    <xf numFmtId="8" fontId="82" fillId="0" borderId="15" xfId="0" applyNumberFormat="1" applyFont="1" applyBorder="1" applyAlignment="1">
      <alignment/>
    </xf>
    <xf numFmtId="0" fontId="82" fillId="0" borderId="86" xfId="0" applyFont="1" applyBorder="1" applyAlignment="1">
      <alignment/>
    </xf>
    <xf numFmtId="0" fontId="82" fillId="0" borderId="14" xfId="0" applyFont="1" applyBorder="1" applyAlignment="1">
      <alignment/>
    </xf>
    <xf numFmtId="8" fontId="82" fillId="0" borderId="44" xfId="0" applyNumberFormat="1" applyFont="1" applyBorder="1" applyAlignment="1">
      <alignment/>
    </xf>
    <xf numFmtId="0" fontId="83" fillId="0" borderId="116" xfId="0" applyFont="1" applyBorder="1" applyAlignment="1">
      <alignment/>
    </xf>
    <xf numFmtId="0" fontId="83" fillId="0" borderId="79" xfId="0" applyFont="1" applyBorder="1" applyAlignment="1">
      <alignment/>
    </xf>
    <xf numFmtId="0" fontId="83" fillId="0" borderId="110" xfId="0" applyFont="1" applyBorder="1" applyAlignment="1">
      <alignment/>
    </xf>
    <xf numFmtId="8" fontId="83" fillId="0" borderId="80" xfId="0" applyNumberFormat="1" applyFont="1" applyBorder="1" applyAlignment="1">
      <alignment/>
    </xf>
    <xf numFmtId="0" fontId="84" fillId="0" borderId="116" xfId="0" applyFont="1" applyBorder="1" applyAlignment="1">
      <alignment/>
    </xf>
    <xf numFmtId="0" fontId="84" fillId="0" borderId="79" xfId="0" applyFont="1" applyBorder="1" applyAlignment="1">
      <alignment/>
    </xf>
    <xf numFmtId="0" fontId="84" fillId="0" borderId="110" xfId="0" applyFont="1" applyBorder="1" applyAlignment="1">
      <alignment/>
    </xf>
    <xf numFmtId="8" fontId="84" fillId="0" borderId="8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82" fillId="0" borderId="84" xfId="0" applyFont="1" applyBorder="1" applyAlignment="1">
      <alignment/>
    </xf>
    <xf numFmtId="8" fontId="85" fillId="0" borderId="80" xfId="0" applyNumberFormat="1" applyFont="1" applyBorder="1" applyAlignment="1">
      <alignment/>
    </xf>
    <xf numFmtId="0" fontId="85" fillId="0" borderId="116" xfId="0" applyFont="1" applyBorder="1" applyAlignment="1">
      <alignment/>
    </xf>
    <xf numFmtId="0" fontId="83" fillId="0" borderId="65" xfId="0" applyFont="1" applyBorder="1" applyAlignment="1">
      <alignment/>
    </xf>
    <xf numFmtId="8" fontId="83" fillId="0" borderId="49" xfId="0" applyNumberFormat="1" applyFont="1" applyBorder="1" applyAlignment="1">
      <alignment/>
    </xf>
    <xf numFmtId="0" fontId="82" fillId="0" borderId="41" xfId="0" applyFont="1" applyBorder="1" applyAlignment="1">
      <alignment/>
    </xf>
    <xf numFmtId="0" fontId="82" fillId="0" borderId="81" xfId="0" applyFont="1" applyBorder="1" applyAlignment="1">
      <alignment/>
    </xf>
    <xf numFmtId="0" fontId="82" fillId="0" borderId="68" xfId="0" applyFont="1" applyBorder="1" applyAlignment="1">
      <alignment/>
    </xf>
    <xf numFmtId="0" fontId="82" fillId="0" borderId="70" xfId="0" applyFont="1" applyBorder="1" applyAlignment="1">
      <alignment/>
    </xf>
    <xf numFmtId="8" fontId="82" fillId="0" borderId="75" xfId="0" applyNumberFormat="1" applyFont="1" applyBorder="1" applyAlignment="1">
      <alignment/>
    </xf>
    <xf numFmtId="0" fontId="82" fillId="0" borderId="87" xfId="0" applyFont="1" applyBorder="1" applyAlignment="1">
      <alignment/>
    </xf>
    <xf numFmtId="0" fontId="82" fillId="0" borderId="79" xfId="0" applyFont="1" applyBorder="1" applyAlignment="1">
      <alignment/>
    </xf>
    <xf numFmtId="0" fontId="86" fillId="0" borderId="0" xfId="0" applyFont="1" applyAlignment="1">
      <alignment/>
    </xf>
    <xf numFmtId="0" fontId="110" fillId="50" borderId="31" xfId="0" applyFont="1" applyFill="1" applyBorder="1" applyAlignment="1">
      <alignment vertical="center" wrapText="1"/>
    </xf>
    <xf numFmtId="4" fontId="106" fillId="0" borderId="32" xfId="0" applyNumberFormat="1" applyFont="1" applyBorder="1" applyAlignment="1">
      <alignment horizontal="right" vertical="center"/>
    </xf>
    <xf numFmtId="4" fontId="111" fillId="0" borderId="45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 wrapText="1"/>
    </xf>
    <xf numFmtId="0" fontId="106" fillId="0" borderId="14" xfId="0" applyFont="1" applyFill="1" applyBorder="1" applyAlignment="1">
      <alignment vertical="center" wrapText="1"/>
    </xf>
    <xf numFmtId="0" fontId="106" fillId="50" borderId="31" xfId="0" applyFont="1" applyFill="1" applyBorder="1" applyAlignment="1">
      <alignment vertical="center" wrapText="1"/>
    </xf>
    <xf numFmtId="0" fontId="88" fillId="0" borderId="0" xfId="0" applyFont="1" applyAlignment="1">
      <alignment/>
    </xf>
    <xf numFmtId="0" fontId="82" fillId="0" borderId="19" xfId="0" applyFont="1" applyBorder="1" applyAlignment="1">
      <alignment/>
    </xf>
    <xf numFmtId="0" fontId="82" fillId="0" borderId="23" xfId="0" applyFont="1" applyBorder="1" applyAlignment="1">
      <alignment/>
    </xf>
    <xf numFmtId="0" fontId="82" fillId="0" borderId="20" xfId="0" applyFont="1" applyBorder="1" applyAlignment="1">
      <alignment/>
    </xf>
    <xf numFmtId="8" fontId="82" fillId="0" borderId="0" xfId="0" applyNumberFormat="1" applyFont="1" applyAlignment="1">
      <alignment/>
    </xf>
    <xf numFmtId="0" fontId="29" fillId="50" borderId="31" xfId="0" applyFont="1" applyFill="1" applyBorder="1" applyAlignment="1">
      <alignment horizontal="center" vertical="center"/>
    </xf>
    <xf numFmtId="49" fontId="29" fillId="50" borderId="31" xfId="0" applyNumberFormat="1" applyFont="1" applyFill="1" applyBorder="1" applyAlignment="1">
      <alignment horizontal="center" vertical="center"/>
    </xf>
    <xf numFmtId="0" fontId="23" fillId="7" borderId="43" xfId="0" applyFont="1" applyFill="1" applyBorder="1" applyAlignment="1">
      <alignment horizontal="left" vertical="center"/>
    </xf>
    <xf numFmtId="0" fontId="112" fillId="21" borderId="0" xfId="0" applyFont="1" applyFill="1" applyAlignment="1">
      <alignment/>
    </xf>
    <xf numFmtId="8" fontId="82" fillId="0" borderId="63" xfId="0" applyNumberFormat="1" applyFont="1" applyBorder="1" applyAlignment="1">
      <alignment/>
    </xf>
    <xf numFmtId="8" fontId="82" fillId="0" borderId="45" xfId="0" applyNumberFormat="1" applyFont="1" applyBorder="1" applyAlignment="1">
      <alignment/>
    </xf>
    <xf numFmtId="8" fontId="82" fillId="0" borderId="54" xfId="0" applyNumberFormat="1" applyFont="1" applyBorder="1" applyAlignment="1">
      <alignment/>
    </xf>
    <xf numFmtId="0" fontId="82" fillId="0" borderId="64" xfId="0" applyFont="1" applyBorder="1" applyAlignment="1">
      <alignment/>
    </xf>
    <xf numFmtId="4" fontId="106" fillId="0" borderId="60" xfId="0" applyNumberFormat="1" applyFont="1" applyBorder="1" applyAlignment="1">
      <alignment horizontal="right" vertical="center"/>
    </xf>
    <xf numFmtId="0" fontId="108" fillId="0" borderId="0" xfId="0" applyFont="1" applyAlignment="1">
      <alignment horizontal="right" vertical="center"/>
    </xf>
    <xf numFmtId="10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0" fillId="0" borderId="0" xfId="0" applyFont="1" applyAlignment="1">
      <alignment/>
    </xf>
    <xf numFmtId="4" fontId="34" fillId="0" borderId="0" xfId="0" applyNumberFormat="1" applyFont="1" applyAlignment="1">
      <alignment horizontal="right" vertical="center"/>
    </xf>
    <xf numFmtId="4" fontId="29" fillId="54" borderId="45" xfId="0" applyNumberFormat="1" applyFont="1" applyFill="1" applyBorder="1" applyAlignment="1">
      <alignment horizontal="right" vertical="center"/>
    </xf>
    <xf numFmtId="4" fontId="24" fillId="54" borderId="54" xfId="0" applyNumberFormat="1" applyFont="1" applyFill="1" applyBorder="1" applyAlignment="1">
      <alignment horizontal="right" vertical="center"/>
    </xf>
    <xf numFmtId="4" fontId="24" fillId="50" borderId="15" xfId="0" applyNumberFormat="1" applyFont="1" applyFill="1" applyBorder="1" applyAlignment="1">
      <alignment horizontal="center" vertical="center"/>
    </xf>
    <xf numFmtId="3" fontId="47" fillId="50" borderId="15" xfId="0" applyNumberFormat="1" applyFont="1" applyFill="1" applyBorder="1" applyAlignment="1">
      <alignment horizontal="center" vertical="center"/>
    </xf>
    <xf numFmtId="49" fontId="27" fillId="14" borderId="44" xfId="0" applyNumberFormat="1" applyFont="1" applyFill="1" applyBorder="1" applyAlignment="1">
      <alignment horizontal="center" vertical="center"/>
    </xf>
    <xf numFmtId="4" fontId="27" fillId="14" borderId="14" xfId="0" applyNumberFormat="1" applyFont="1" applyFill="1" applyBorder="1" applyAlignment="1">
      <alignment vertical="center"/>
    </xf>
    <xf numFmtId="4" fontId="24" fillId="14" borderId="14" xfId="0" applyNumberFormat="1" applyFont="1" applyFill="1" applyBorder="1" applyAlignment="1">
      <alignment vertical="center"/>
    </xf>
    <xf numFmtId="4" fontId="24" fillId="7" borderId="83" xfId="0" applyNumberFormat="1" applyFont="1" applyFill="1" applyBorder="1" applyAlignment="1">
      <alignment vertical="center"/>
    </xf>
    <xf numFmtId="4" fontId="24" fillId="14" borderId="20" xfId="0" applyNumberFormat="1" applyFont="1" applyFill="1" applyBorder="1" applyAlignment="1">
      <alignment vertical="center"/>
    </xf>
    <xf numFmtId="4" fontId="24" fillId="50" borderId="20" xfId="0" applyNumberFormat="1" applyFont="1" applyFill="1" applyBorder="1" applyAlignment="1">
      <alignment vertical="center"/>
    </xf>
    <xf numFmtId="4" fontId="24" fillId="11" borderId="20" xfId="0" applyNumberFormat="1" applyFont="1" applyFill="1" applyBorder="1" applyAlignment="1">
      <alignment vertical="center" wrapText="1"/>
    </xf>
    <xf numFmtId="4" fontId="24" fillId="0" borderId="20" xfId="0" applyNumberFormat="1" applyFont="1" applyFill="1" applyBorder="1" applyAlignment="1">
      <alignment vertical="center"/>
    </xf>
    <xf numFmtId="4" fontId="24" fillId="50" borderId="69" xfId="0" applyNumberFormat="1" applyFont="1" applyFill="1" applyBorder="1" applyAlignment="1">
      <alignment vertical="center"/>
    </xf>
    <xf numFmtId="4" fontId="24" fillId="0" borderId="32" xfId="0" applyNumberFormat="1" applyFont="1" applyFill="1" applyBorder="1" applyAlignment="1">
      <alignment vertical="center" wrapText="1"/>
    </xf>
    <xf numFmtId="4" fontId="24" fillId="0" borderId="32" xfId="0" applyNumberFormat="1" applyFont="1" applyFill="1" applyBorder="1" applyAlignment="1">
      <alignment vertical="center"/>
    </xf>
    <xf numFmtId="4" fontId="24" fillId="50" borderId="32" xfId="0" applyNumberFormat="1" applyFont="1" applyFill="1" applyBorder="1" applyAlignment="1">
      <alignment vertical="center"/>
    </xf>
    <xf numFmtId="4" fontId="23" fillId="14" borderId="40" xfId="0" applyNumberFormat="1" applyFont="1" applyFill="1" applyBorder="1" applyAlignment="1">
      <alignment horizontal="right" vertical="center"/>
    </xf>
    <xf numFmtId="4" fontId="24" fillId="54" borderId="45" xfId="0" applyNumberFormat="1" applyFont="1" applyFill="1" applyBorder="1" applyAlignment="1">
      <alignment horizontal="right" vertical="center"/>
    </xf>
    <xf numFmtId="4" fontId="24" fillId="54" borderId="34" xfId="0" applyNumberFormat="1" applyFont="1" applyFill="1" applyBorder="1" applyAlignment="1">
      <alignment horizontal="right" vertical="center"/>
    </xf>
    <xf numFmtId="4" fontId="40" fillId="0" borderId="0" xfId="0" applyNumberFormat="1" applyFont="1" applyAlignment="1">
      <alignment vertical="center" wrapText="1"/>
    </xf>
    <xf numFmtId="4" fontId="89" fillId="0" borderId="0" xfId="0" applyNumberFormat="1" applyFont="1" applyAlignment="1">
      <alignment vertical="center" wrapText="1"/>
    </xf>
    <xf numFmtId="0" fontId="90" fillId="0" borderId="0" xfId="0" applyFont="1" applyAlignment="1">
      <alignment/>
    </xf>
    <xf numFmtId="0" fontId="92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86" fillId="0" borderId="0" xfId="0" applyFont="1" applyAlignment="1">
      <alignment vertical="center"/>
    </xf>
    <xf numFmtId="201" fontId="86" fillId="0" borderId="0" xfId="0" applyNumberFormat="1" applyFont="1" applyAlignment="1">
      <alignment vertical="center"/>
    </xf>
    <xf numFmtId="0" fontId="91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86" fillId="0" borderId="15" xfId="0" applyFont="1" applyBorder="1" applyAlignment="1">
      <alignment vertical="center"/>
    </xf>
    <xf numFmtId="0" fontId="86" fillId="0" borderId="15" xfId="0" applyFont="1" applyBorder="1" applyAlignment="1">
      <alignment horizontal="center" vertical="center"/>
    </xf>
    <xf numFmtId="201" fontId="86" fillId="0" borderId="15" xfId="0" applyNumberFormat="1" applyFont="1" applyBorder="1" applyAlignment="1">
      <alignment vertical="center"/>
    </xf>
    <xf numFmtId="0" fontId="86" fillId="0" borderId="15" xfId="0" applyFont="1" applyFill="1" applyBorder="1" applyAlignment="1">
      <alignment vertical="center"/>
    </xf>
    <xf numFmtId="0" fontId="93" fillId="0" borderId="15" xfId="0" applyFont="1" applyBorder="1" applyAlignment="1">
      <alignment vertical="center"/>
    </xf>
    <xf numFmtId="4" fontId="24" fillId="54" borderId="74" xfId="0" applyNumberFormat="1" applyFont="1" applyFill="1" applyBorder="1" applyAlignment="1">
      <alignment horizontal="right" vertical="center" wrapText="1"/>
    </xf>
    <xf numFmtId="4" fontId="24" fillId="54" borderId="32" xfId="0" applyNumberFormat="1" applyFont="1" applyFill="1" applyBorder="1" applyAlignment="1">
      <alignment horizontal="right" vertical="center" wrapText="1"/>
    </xf>
    <xf numFmtId="4" fontId="27" fillId="54" borderId="80" xfId="0" applyNumberFormat="1" applyFont="1" applyFill="1" applyBorder="1" applyAlignment="1">
      <alignment horizontal="right" vertical="center" wrapText="1"/>
    </xf>
    <xf numFmtId="4" fontId="23" fillId="54" borderId="80" xfId="0" applyNumberFormat="1" applyFont="1" applyFill="1" applyBorder="1" applyAlignment="1">
      <alignment horizontal="right" vertical="center"/>
    </xf>
    <xf numFmtId="49" fontId="21" fillId="36" borderId="65" xfId="0" applyNumberFormat="1" applyFont="1" applyFill="1" applyBorder="1" applyAlignment="1">
      <alignment horizontal="left" vertical="center"/>
    </xf>
    <xf numFmtId="49" fontId="22" fillId="36" borderId="28" xfId="0" applyNumberFormat="1" applyFont="1" applyFill="1" applyBorder="1" applyAlignment="1">
      <alignment vertical="center"/>
    </xf>
    <xf numFmtId="49" fontId="22" fillId="36" borderId="66" xfId="0" applyNumberFormat="1" applyFont="1" applyFill="1" applyBorder="1" applyAlignment="1">
      <alignment vertical="center"/>
    </xf>
    <xf numFmtId="49" fontId="22" fillId="36" borderId="64" xfId="0" applyNumberFormat="1" applyFont="1" applyFill="1" applyBorder="1" applyAlignment="1">
      <alignment vertical="center"/>
    </xf>
    <xf numFmtId="49" fontId="36" fillId="36" borderId="65" xfId="0" applyNumberFormat="1" applyFont="1" applyFill="1" applyBorder="1" applyAlignment="1">
      <alignment horizontal="left" vertical="center"/>
    </xf>
    <xf numFmtId="0" fontId="37" fillId="36" borderId="28" xfId="0" applyFont="1" applyFill="1" applyBorder="1" applyAlignment="1">
      <alignment vertical="center"/>
    </xf>
    <xf numFmtId="0" fontId="37" fillId="36" borderId="84" xfId="0" applyFont="1" applyFill="1" applyBorder="1" applyAlignment="1">
      <alignment vertical="center"/>
    </xf>
    <xf numFmtId="0" fontId="37" fillId="36" borderId="66" xfId="0" applyFont="1" applyFill="1" applyBorder="1" applyAlignment="1">
      <alignment vertical="center"/>
    </xf>
    <xf numFmtId="0" fontId="37" fillId="36" borderId="64" xfId="0" applyFont="1" applyFill="1" applyBorder="1" applyAlignment="1">
      <alignment vertical="center"/>
    </xf>
    <xf numFmtId="0" fontId="37" fillId="36" borderId="53" xfId="0" applyFont="1" applyFill="1" applyBorder="1" applyAlignment="1">
      <alignment vertical="center"/>
    </xf>
    <xf numFmtId="49" fontId="69" fillId="36" borderId="117" xfId="0" applyNumberFormat="1" applyFont="1" applyFill="1" applyBorder="1" applyAlignment="1">
      <alignment horizontal="left"/>
    </xf>
    <xf numFmtId="49" fontId="69" fillId="36" borderId="41" xfId="0" applyNumberFormat="1" applyFont="1" applyFill="1" applyBorder="1" applyAlignment="1">
      <alignment horizontal="left"/>
    </xf>
    <xf numFmtId="49" fontId="113" fillId="36" borderId="117" xfId="0" applyNumberFormat="1" applyFont="1" applyFill="1" applyBorder="1" applyAlignment="1">
      <alignment horizontal="left"/>
    </xf>
    <xf numFmtId="49" fontId="113" fillId="36" borderId="41" xfId="0" applyNumberFormat="1" applyFont="1" applyFill="1" applyBorder="1" applyAlignment="1">
      <alignment horizontal="left"/>
    </xf>
    <xf numFmtId="49" fontId="113" fillId="36" borderId="81" xfId="0" applyNumberFormat="1" applyFont="1" applyFill="1" applyBorder="1" applyAlignment="1">
      <alignment horizontal="left"/>
    </xf>
    <xf numFmtId="0" fontId="31" fillId="36" borderId="114" xfId="0" applyFont="1" applyFill="1" applyBorder="1" applyAlignment="1">
      <alignment horizontal="center"/>
    </xf>
    <xf numFmtId="0" fontId="40" fillId="0" borderId="41" xfId="0" applyFont="1" applyBorder="1" applyAlignment="1">
      <alignment/>
    </xf>
    <xf numFmtId="49" fontId="69" fillId="36" borderId="117" xfId="0" applyNumberFormat="1" applyFont="1" applyFill="1" applyBorder="1" applyAlignment="1">
      <alignment horizontal="left" vertical="center"/>
    </xf>
    <xf numFmtId="49" fontId="69" fillId="36" borderId="41" xfId="0" applyNumberFormat="1" applyFont="1" applyFill="1" applyBorder="1" applyAlignment="1">
      <alignment horizontal="left" vertical="center"/>
    </xf>
    <xf numFmtId="49" fontId="113" fillId="36" borderId="117" xfId="0" applyNumberFormat="1" applyFont="1" applyFill="1" applyBorder="1" applyAlignment="1">
      <alignment horizontal="left" vertical="center"/>
    </xf>
    <xf numFmtId="49" fontId="113" fillId="36" borderId="41" xfId="0" applyNumberFormat="1" applyFont="1" applyFill="1" applyBorder="1" applyAlignment="1">
      <alignment horizontal="left" vertical="center"/>
    </xf>
    <xf numFmtId="49" fontId="113" fillId="36" borderId="81" xfId="0" applyNumberFormat="1" applyFont="1" applyFill="1" applyBorder="1" applyAlignment="1">
      <alignment horizontal="left" vertical="center"/>
    </xf>
    <xf numFmtId="0" fontId="31" fillId="36" borderId="86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27" fillId="36" borderId="117" xfId="0" applyFont="1" applyFill="1" applyBorder="1" applyAlignment="1">
      <alignment horizontal="center"/>
    </xf>
    <xf numFmtId="0" fontId="34" fillId="0" borderId="41" xfId="0" applyFont="1" applyBorder="1" applyAlignment="1">
      <alignment/>
    </xf>
    <xf numFmtId="0" fontId="27" fillId="36" borderId="114" xfId="0" applyFont="1" applyFill="1" applyBorder="1" applyAlignment="1">
      <alignment horizontal="center"/>
    </xf>
    <xf numFmtId="0" fontId="40" fillId="0" borderId="23" xfId="0" applyFont="1" applyBorder="1" applyAlignment="1">
      <alignment/>
    </xf>
    <xf numFmtId="49" fontId="28" fillId="36" borderId="65" xfId="0" applyNumberFormat="1" applyFont="1" applyFill="1" applyBorder="1" applyAlignment="1">
      <alignment horizontal="center" vertical="center" wrapText="1"/>
    </xf>
    <xf numFmtId="0" fontId="35" fillId="36" borderId="84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35" fillId="36" borderId="82" xfId="0" applyFont="1" applyFill="1" applyBorder="1" applyAlignment="1">
      <alignment horizontal="center" vertical="center" wrapText="1"/>
    </xf>
    <xf numFmtId="0" fontId="35" fillId="36" borderId="118" xfId="0" applyFont="1" applyFill="1" applyBorder="1" applyAlignment="1">
      <alignment horizontal="center" vertical="center" wrapText="1"/>
    </xf>
    <xf numFmtId="0" fontId="35" fillId="36" borderId="51" xfId="0" applyFont="1" applyFill="1" applyBorder="1" applyAlignment="1">
      <alignment horizontal="center" vertical="center" wrapText="1"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ázov" xfId="65"/>
    <cellStyle name="Neutrálna" xfId="66"/>
    <cellStyle name="Percent" xfId="67"/>
    <cellStyle name="Followed Hyperlink" xfId="68"/>
    <cellStyle name="Poznámka" xfId="69"/>
    <cellStyle name="Prepojená bunka" xfId="70"/>
    <cellStyle name="Spolu" xfId="71"/>
    <cellStyle name="Text upozornění" xfId="72"/>
    <cellStyle name="Text upozornenia" xfId="73"/>
    <cellStyle name="Vstup" xfId="74"/>
    <cellStyle name="Výpočet" xfId="75"/>
    <cellStyle name="Výstup" xfId="76"/>
    <cellStyle name="Vysvětlující text" xfId="77"/>
    <cellStyle name="Vysvetľujúci text" xfId="78"/>
    <cellStyle name="Zlá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139"/>
  <sheetViews>
    <sheetView tabSelected="1" zoomScale="150" zoomScaleNormal="15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.8515625" style="0" customWidth="1"/>
    <col min="4" max="4" width="3.421875" style="0" customWidth="1"/>
    <col min="5" max="5" width="6.8515625" style="0" customWidth="1"/>
    <col min="6" max="6" width="30.7109375" style="0" customWidth="1"/>
    <col min="7" max="8" width="10.57421875" style="0" bestFit="1" customWidth="1"/>
    <col min="9" max="9" width="9.28125" style="0" bestFit="1" customWidth="1"/>
    <col min="10" max="10" width="10.140625" style="0" bestFit="1" customWidth="1"/>
    <col min="11" max="12" width="12.140625" style="0" bestFit="1" customWidth="1"/>
    <col min="13" max="13" width="10.00390625" style="0" bestFit="1" customWidth="1"/>
    <col min="14" max="16" width="9.57421875" style="0" customWidth="1"/>
    <col min="18" max="18" width="14.8515625" style="0" customWidth="1"/>
    <col min="19" max="19" width="13.28125" style="0" bestFit="1" customWidth="1"/>
  </cols>
  <sheetData>
    <row r="1" spans="1:6" ht="18.75" thickBot="1">
      <c r="A1" s="1" t="s">
        <v>536</v>
      </c>
      <c r="B1" s="1"/>
      <c r="C1" s="1"/>
      <c r="D1" s="1"/>
      <c r="E1" s="1"/>
      <c r="F1" s="1"/>
    </row>
    <row r="2" spans="1:13" ht="12.75">
      <c r="A2" s="1236" t="s">
        <v>12</v>
      </c>
      <c r="B2" s="1237"/>
      <c r="C2" s="1237"/>
      <c r="D2" s="1237"/>
      <c r="E2" s="1237"/>
      <c r="F2" s="1237"/>
      <c r="G2" s="192" t="s">
        <v>283</v>
      </c>
      <c r="H2" s="192" t="s">
        <v>283</v>
      </c>
      <c r="I2" s="121" t="s">
        <v>284</v>
      </c>
      <c r="J2" s="191" t="s">
        <v>286</v>
      </c>
      <c r="K2" s="530" t="s">
        <v>13</v>
      </c>
      <c r="L2" s="501" t="s">
        <v>13</v>
      </c>
      <c r="M2" s="501" t="s">
        <v>13</v>
      </c>
    </row>
    <row r="3" spans="1:13" ht="13.5" thickBot="1">
      <c r="A3" s="1238"/>
      <c r="B3" s="1239"/>
      <c r="C3" s="1239"/>
      <c r="D3" s="1239"/>
      <c r="E3" s="1239"/>
      <c r="F3" s="1239"/>
      <c r="G3" s="193"/>
      <c r="H3" s="193"/>
      <c r="I3" s="122" t="s">
        <v>285</v>
      </c>
      <c r="J3" s="122" t="s">
        <v>287</v>
      </c>
      <c r="K3" s="531"/>
      <c r="L3" s="502" t="s">
        <v>505</v>
      </c>
      <c r="M3" s="502" t="s">
        <v>505</v>
      </c>
    </row>
    <row r="4" spans="1:13" ht="15.75">
      <c r="A4" s="2"/>
      <c r="B4" s="3"/>
      <c r="C4" s="4"/>
      <c r="D4" s="4"/>
      <c r="E4" s="5"/>
      <c r="F4" s="5"/>
      <c r="G4" s="195">
        <v>2018</v>
      </c>
      <c r="H4" s="195">
        <v>2019</v>
      </c>
      <c r="I4" s="196" t="s">
        <v>373</v>
      </c>
      <c r="J4" s="196" t="s">
        <v>373</v>
      </c>
      <c r="K4" s="532" t="s">
        <v>404</v>
      </c>
      <c r="L4" s="503" t="s">
        <v>432</v>
      </c>
      <c r="M4" s="503" t="s">
        <v>537</v>
      </c>
    </row>
    <row r="5" spans="1:18" ht="33" thickBot="1">
      <c r="A5" s="98" t="s">
        <v>240</v>
      </c>
      <c r="B5" s="99" t="s">
        <v>14</v>
      </c>
      <c r="C5" s="100" t="s">
        <v>15</v>
      </c>
      <c r="D5" s="100" t="s">
        <v>241</v>
      </c>
      <c r="E5" s="101" t="s">
        <v>155</v>
      </c>
      <c r="F5" s="5"/>
      <c r="G5" s="194" t="s">
        <v>276</v>
      </c>
      <c r="H5" s="194" t="s">
        <v>276</v>
      </c>
      <c r="I5" s="123" t="s">
        <v>276</v>
      </c>
      <c r="J5" s="123" t="s">
        <v>276</v>
      </c>
      <c r="K5" s="533" t="s">
        <v>276</v>
      </c>
      <c r="L5" s="504" t="s">
        <v>276</v>
      </c>
      <c r="M5" s="504" t="s">
        <v>276</v>
      </c>
      <c r="R5" s="550"/>
    </row>
    <row r="6" spans="1:18" s="505" customFormat="1" ht="13.5" thickBot="1">
      <c r="A6" s="748">
        <v>1</v>
      </c>
      <c r="B6" s="749" t="s">
        <v>16</v>
      </c>
      <c r="C6" s="750"/>
      <c r="D6" s="751"/>
      <c r="E6" s="752" t="s">
        <v>17</v>
      </c>
      <c r="F6" s="753"/>
      <c r="G6" s="754">
        <f>G7+G9+G13</f>
        <v>784844.16</v>
      </c>
      <c r="H6" s="754">
        <f aca="true" t="shared" si="0" ref="H6:M6">H7+H9+H13</f>
        <v>884061.6000000001</v>
      </c>
      <c r="I6" s="754">
        <f>I7+I9+I13</f>
        <v>927695</v>
      </c>
      <c r="J6" s="754">
        <f t="shared" si="0"/>
        <v>877705.1799999999</v>
      </c>
      <c r="K6" s="754">
        <f t="shared" si="0"/>
        <v>915884</v>
      </c>
      <c r="L6" s="754">
        <f t="shared" si="0"/>
        <v>945884</v>
      </c>
      <c r="M6" s="754">
        <f t="shared" si="0"/>
        <v>995884</v>
      </c>
      <c r="R6" s="755"/>
    </row>
    <row r="7" spans="1:18" s="505" customFormat="1" ht="12.75">
      <c r="A7" s="756">
        <v>2</v>
      </c>
      <c r="B7" s="669" t="s">
        <v>18</v>
      </c>
      <c r="C7" s="757"/>
      <c r="D7" s="758"/>
      <c r="E7" s="759" t="s">
        <v>19</v>
      </c>
      <c r="F7" s="760"/>
      <c r="G7" s="761">
        <f aca="true" t="shared" si="1" ref="G7:M7">G8</f>
        <v>656250.19</v>
      </c>
      <c r="H7" s="761">
        <f t="shared" si="1"/>
        <v>727774.43</v>
      </c>
      <c r="I7" s="761">
        <f t="shared" si="1"/>
        <v>742422</v>
      </c>
      <c r="J7" s="761">
        <f t="shared" si="1"/>
        <v>700000</v>
      </c>
      <c r="K7" s="761">
        <f t="shared" si="1"/>
        <v>720000</v>
      </c>
      <c r="L7" s="761">
        <f t="shared" si="1"/>
        <v>750000</v>
      </c>
      <c r="M7" s="761">
        <f t="shared" si="1"/>
        <v>800000</v>
      </c>
      <c r="P7" s="992"/>
      <c r="R7" s="755"/>
    </row>
    <row r="8" spans="1:19" s="505" customFormat="1" ht="12.75">
      <c r="A8" s="441">
        <v>3</v>
      </c>
      <c r="B8" s="451"/>
      <c r="C8" s="762" t="s">
        <v>20</v>
      </c>
      <c r="D8" s="763" t="s">
        <v>21</v>
      </c>
      <c r="E8" s="764" t="s">
        <v>159</v>
      </c>
      <c r="F8" s="384"/>
      <c r="G8" s="765">
        <v>656250.19</v>
      </c>
      <c r="H8" s="765">
        <v>727774.43</v>
      </c>
      <c r="I8" s="765">
        <v>742422</v>
      </c>
      <c r="J8" s="765">
        <v>700000</v>
      </c>
      <c r="K8" s="765">
        <v>720000</v>
      </c>
      <c r="L8" s="765">
        <v>750000</v>
      </c>
      <c r="M8" s="765">
        <v>800000</v>
      </c>
      <c r="N8" s="724"/>
      <c r="O8" s="724"/>
      <c r="P8" s="1085"/>
      <c r="Q8" s="766"/>
      <c r="R8" s="755"/>
      <c r="S8" s="767"/>
    </row>
    <row r="9" spans="1:18" s="505" customFormat="1" ht="12.75">
      <c r="A9" s="756">
        <v>4</v>
      </c>
      <c r="B9" s="669" t="s">
        <v>22</v>
      </c>
      <c r="C9" s="768"/>
      <c r="D9" s="769"/>
      <c r="E9" s="759" t="s">
        <v>23</v>
      </c>
      <c r="F9" s="760"/>
      <c r="G9" s="572">
        <f aca="true" t="shared" si="2" ref="G9:M9">G10</f>
        <v>64920.82000000001</v>
      </c>
      <c r="H9" s="572">
        <f t="shared" si="2"/>
        <v>74117.75</v>
      </c>
      <c r="I9" s="572">
        <f t="shared" si="2"/>
        <v>80800</v>
      </c>
      <c r="J9" s="572">
        <f t="shared" si="2"/>
        <v>81220</v>
      </c>
      <c r="K9" s="572">
        <f t="shared" si="2"/>
        <v>105446</v>
      </c>
      <c r="L9" s="572">
        <f t="shared" si="2"/>
        <v>105446</v>
      </c>
      <c r="M9" s="572">
        <f t="shared" si="2"/>
        <v>105446</v>
      </c>
      <c r="R9" s="755"/>
    </row>
    <row r="10" spans="1:18" s="505" customFormat="1" ht="12.75">
      <c r="A10" s="441">
        <v>5</v>
      </c>
      <c r="B10" s="770"/>
      <c r="C10" s="771" t="s">
        <v>24</v>
      </c>
      <c r="D10" s="772"/>
      <c r="E10" s="773" t="s">
        <v>163</v>
      </c>
      <c r="F10" s="774"/>
      <c r="G10" s="775">
        <f>G11+G12</f>
        <v>64920.82000000001</v>
      </c>
      <c r="H10" s="775">
        <f aca="true" t="shared" si="3" ref="H10:M10">H11+H12</f>
        <v>74117.75</v>
      </c>
      <c r="I10" s="775">
        <f>I11+I12</f>
        <v>80800</v>
      </c>
      <c r="J10" s="775">
        <f t="shared" si="3"/>
        <v>81220</v>
      </c>
      <c r="K10" s="775">
        <f t="shared" si="3"/>
        <v>105446</v>
      </c>
      <c r="L10" s="775">
        <f t="shared" si="3"/>
        <v>105446</v>
      </c>
      <c r="M10" s="775">
        <f t="shared" si="3"/>
        <v>105446</v>
      </c>
      <c r="O10" s="633"/>
      <c r="R10" s="755"/>
    </row>
    <row r="11" spans="1:18" s="505" customFormat="1" ht="12.75">
      <c r="A11" s="441">
        <v>6</v>
      </c>
      <c r="B11" s="456"/>
      <c r="C11" s="771"/>
      <c r="D11" s="772" t="s">
        <v>25</v>
      </c>
      <c r="E11" s="776" t="s">
        <v>26</v>
      </c>
      <c r="F11" s="777"/>
      <c r="G11" s="778">
        <v>41549.33</v>
      </c>
      <c r="H11" s="778">
        <v>47454.77</v>
      </c>
      <c r="I11" s="778">
        <v>51712</v>
      </c>
      <c r="J11" s="778">
        <v>52132</v>
      </c>
      <c r="K11" s="1197">
        <f>52132+16151</f>
        <v>68283</v>
      </c>
      <c r="L11" s="778">
        <f>K11</f>
        <v>68283</v>
      </c>
      <c r="M11" s="778">
        <f>L11</f>
        <v>68283</v>
      </c>
      <c r="N11" s="655"/>
      <c r="O11" s="655"/>
      <c r="P11" s="655"/>
      <c r="R11" s="755"/>
    </row>
    <row r="12" spans="1:18" s="505" customFormat="1" ht="12.75">
      <c r="A12" s="441">
        <v>7</v>
      </c>
      <c r="B12" s="456"/>
      <c r="C12" s="771"/>
      <c r="D12" s="772" t="s">
        <v>27</v>
      </c>
      <c r="E12" s="776" t="s">
        <v>28</v>
      </c>
      <c r="F12" s="777"/>
      <c r="G12" s="778">
        <v>23371.49</v>
      </c>
      <c r="H12" s="778">
        <v>26662.98</v>
      </c>
      <c r="I12" s="778">
        <v>29088</v>
      </c>
      <c r="J12" s="778">
        <v>29088</v>
      </c>
      <c r="K12" s="1197">
        <f>28368+720+8075</f>
        <v>37163</v>
      </c>
      <c r="L12" s="778">
        <f>K12</f>
        <v>37163</v>
      </c>
      <c r="M12" s="778">
        <f>L12</f>
        <v>37163</v>
      </c>
      <c r="N12" s="655"/>
      <c r="O12" s="655"/>
      <c r="P12" s="655"/>
      <c r="R12" s="755"/>
    </row>
    <row r="13" spans="1:18" s="505" customFormat="1" ht="12.75">
      <c r="A13" s="756">
        <v>8</v>
      </c>
      <c r="B13" s="669" t="s">
        <v>29</v>
      </c>
      <c r="C13" s="779"/>
      <c r="D13" s="780"/>
      <c r="E13" s="759" t="s">
        <v>30</v>
      </c>
      <c r="F13" s="760"/>
      <c r="G13" s="572">
        <f>G14+G15+G16+G19+G18</f>
        <v>63673.15</v>
      </c>
      <c r="H13" s="572">
        <f>H14+H15+H16+H19+H18</f>
        <v>82169.41999999998</v>
      </c>
      <c r="I13" s="572">
        <f>I14+I15+I16+I19+I18</f>
        <v>104473</v>
      </c>
      <c r="J13" s="572">
        <f>SUM(J14:J19)</f>
        <v>96485.18</v>
      </c>
      <c r="K13" s="572">
        <f>SUM(K14:K19)</f>
        <v>90438</v>
      </c>
      <c r="L13" s="572">
        <f>SUM(L14:L19)</f>
        <v>90438</v>
      </c>
      <c r="M13" s="572">
        <f>SUM(M14:M19)</f>
        <v>90438</v>
      </c>
      <c r="R13" s="755"/>
    </row>
    <row r="14" spans="1:18" s="505" customFormat="1" ht="12.75">
      <c r="A14" s="441">
        <v>9</v>
      </c>
      <c r="B14" s="451"/>
      <c r="C14" s="771" t="s">
        <v>218</v>
      </c>
      <c r="D14" s="772" t="s">
        <v>25</v>
      </c>
      <c r="E14" s="384" t="s">
        <v>160</v>
      </c>
      <c r="F14" s="777"/>
      <c r="G14" s="781">
        <v>1123.75</v>
      </c>
      <c r="H14" s="781">
        <v>1105</v>
      </c>
      <c r="I14" s="778">
        <v>1200</v>
      </c>
      <c r="J14" s="778">
        <v>1200</v>
      </c>
      <c r="K14" s="1197">
        <v>2112</v>
      </c>
      <c r="L14" s="778">
        <f>K14</f>
        <v>2112</v>
      </c>
      <c r="M14" s="778">
        <f>L14</f>
        <v>2112</v>
      </c>
      <c r="N14" s="655"/>
      <c r="O14" s="655"/>
      <c r="P14" s="655"/>
      <c r="R14" s="755"/>
    </row>
    <row r="15" spans="1:18" s="505" customFormat="1" ht="12.75">
      <c r="A15" s="441">
        <v>10</v>
      </c>
      <c r="B15" s="346"/>
      <c r="C15" s="782" t="s">
        <v>218</v>
      </c>
      <c r="D15" s="783" t="s">
        <v>31</v>
      </c>
      <c r="E15" s="776" t="s">
        <v>161</v>
      </c>
      <c r="F15" s="776"/>
      <c r="G15" s="781">
        <v>532.5</v>
      </c>
      <c r="H15" s="781">
        <v>702.12</v>
      </c>
      <c r="I15" s="781">
        <v>500</v>
      </c>
      <c r="J15" s="781">
        <v>110</v>
      </c>
      <c r="K15" s="781">
        <v>300</v>
      </c>
      <c r="L15" s="781">
        <v>300</v>
      </c>
      <c r="M15" s="781">
        <v>300</v>
      </c>
      <c r="R15" s="784"/>
    </row>
    <row r="16" spans="1:18" s="505" customFormat="1" ht="12.75">
      <c r="A16" s="441">
        <v>11</v>
      </c>
      <c r="B16" s="346"/>
      <c r="C16" s="782" t="s">
        <v>218</v>
      </c>
      <c r="D16" s="783" t="s">
        <v>32</v>
      </c>
      <c r="E16" s="1112" t="s">
        <v>545</v>
      </c>
      <c r="F16" s="776"/>
      <c r="G16" s="781">
        <v>51187.25</v>
      </c>
      <c r="H16" s="781">
        <v>69532.65</v>
      </c>
      <c r="I16" s="781">
        <v>87773</v>
      </c>
      <c r="J16" s="781">
        <v>72676</v>
      </c>
      <c r="K16" s="785">
        <v>72676</v>
      </c>
      <c r="L16" s="781">
        <v>72676</v>
      </c>
      <c r="M16" s="781">
        <v>72676</v>
      </c>
      <c r="N16" s="633"/>
      <c r="O16" s="633"/>
      <c r="P16" s="633"/>
      <c r="Q16" s="992"/>
      <c r="R16" s="755"/>
    </row>
    <row r="17" spans="1:18" s="505" customFormat="1" ht="12.75">
      <c r="A17" s="441">
        <v>12</v>
      </c>
      <c r="B17" s="663"/>
      <c r="C17" s="1056" t="s">
        <v>218</v>
      </c>
      <c r="D17" s="783" t="s">
        <v>32</v>
      </c>
      <c r="E17" s="1112" t="s">
        <v>587</v>
      </c>
      <c r="F17" s="776"/>
      <c r="G17" s="900">
        <v>0</v>
      </c>
      <c r="H17" s="900">
        <v>0</v>
      </c>
      <c r="I17" s="900">
        <v>0</v>
      </c>
      <c r="J17" s="900">
        <v>350</v>
      </c>
      <c r="K17" s="1057">
        <v>350</v>
      </c>
      <c r="L17" s="900">
        <v>350</v>
      </c>
      <c r="M17" s="900">
        <v>350</v>
      </c>
      <c r="N17" s="633"/>
      <c r="O17" s="633"/>
      <c r="P17" s="633"/>
      <c r="Q17" s="992"/>
      <c r="R17" s="755"/>
    </row>
    <row r="18" spans="1:18" s="505" customFormat="1" ht="12.75">
      <c r="A18" s="460">
        <v>13</v>
      </c>
      <c r="B18" s="663"/>
      <c r="C18" s="1056" t="s">
        <v>218</v>
      </c>
      <c r="D18" s="782" t="s">
        <v>500</v>
      </c>
      <c r="E18" s="963" t="s">
        <v>501</v>
      </c>
      <c r="F18" s="1058"/>
      <c r="G18" s="900">
        <v>0</v>
      </c>
      <c r="H18" s="900">
        <v>0</v>
      </c>
      <c r="I18" s="900">
        <v>15000</v>
      </c>
      <c r="J18" s="900">
        <v>17349</v>
      </c>
      <c r="K18" s="1057">
        <v>15000</v>
      </c>
      <c r="L18" s="900">
        <v>15000</v>
      </c>
      <c r="M18" s="900">
        <v>15000</v>
      </c>
      <c r="N18" s="633"/>
      <c r="O18" s="633"/>
      <c r="P18" s="633"/>
      <c r="Q18" s="992"/>
      <c r="R18" s="755"/>
    </row>
    <row r="19" spans="1:19" s="505" customFormat="1" ht="13.5" thickBot="1">
      <c r="A19" s="458">
        <v>14</v>
      </c>
      <c r="B19" s="786"/>
      <c r="C19" s="787" t="s">
        <v>156</v>
      </c>
      <c r="D19" s="788" t="s">
        <v>25</v>
      </c>
      <c r="E19" s="789" t="s">
        <v>162</v>
      </c>
      <c r="F19" s="789"/>
      <c r="G19" s="790">
        <v>10829.65</v>
      </c>
      <c r="H19" s="790">
        <v>10829.65</v>
      </c>
      <c r="I19" s="790">
        <v>0</v>
      </c>
      <c r="J19" s="790">
        <v>4800.18</v>
      </c>
      <c r="K19" s="790">
        <v>0</v>
      </c>
      <c r="L19" s="790">
        <v>0</v>
      </c>
      <c r="M19" s="790">
        <v>0</v>
      </c>
      <c r="R19" s="755"/>
      <c r="S19" s="755"/>
    </row>
    <row r="20" spans="1:18" s="505" customFormat="1" ht="13.5" thickBot="1">
      <c r="A20" s="748">
        <v>15</v>
      </c>
      <c r="B20" s="749" t="s">
        <v>33</v>
      </c>
      <c r="C20" s="750"/>
      <c r="D20" s="751"/>
      <c r="E20" s="752" t="s">
        <v>34</v>
      </c>
      <c r="F20" s="753"/>
      <c r="G20" s="754">
        <f aca="true" t="shared" si="4" ref="G20:M20">G21+G37+G54+G56</f>
        <v>113209.65</v>
      </c>
      <c r="H20" s="754">
        <f t="shared" si="4"/>
        <v>105693.93999999999</v>
      </c>
      <c r="I20" s="754">
        <f t="shared" si="4"/>
        <v>101123.24</v>
      </c>
      <c r="J20" s="754">
        <f t="shared" si="4"/>
        <v>134876.64</v>
      </c>
      <c r="K20" s="754">
        <f t="shared" si="4"/>
        <v>132823.24000000002</v>
      </c>
      <c r="L20" s="754">
        <f t="shared" si="4"/>
        <v>132823.24000000002</v>
      </c>
      <c r="M20" s="754">
        <f t="shared" si="4"/>
        <v>132823.24000000002</v>
      </c>
      <c r="R20" s="755"/>
    </row>
    <row r="21" spans="1:18" s="505" customFormat="1" ht="13.5" thickBot="1">
      <c r="A21" s="791">
        <v>16</v>
      </c>
      <c r="B21" s="792" t="s">
        <v>35</v>
      </c>
      <c r="C21" s="792"/>
      <c r="D21" s="793"/>
      <c r="E21" s="391" t="s">
        <v>36</v>
      </c>
      <c r="F21" s="794"/>
      <c r="G21" s="795">
        <f>G22+G23+G27</f>
        <v>24437.059999999998</v>
      </c>
      <c r="H21" s="795">
        <f aca="true" t="shared" si="5" ref="H21:M21">H22+H23+H27</f>
        <v>18783.239999999998</v>
      </c>
      <c r="I21" s="795">
        <f t="shared" si="5"/>
        <v>19399.32</v>
      </c>
      <c r="J21" s="795">
        <f t="shared" si="5"/>
        <v>19810.32</v>
      </c>
      <c r="K21" s="795">
        <f t="shared" si="5"/>
        <v>19609.32</v>
      </c>
      <c r="L21" s="795">
        <f t="shared" si="5"/>
        <v>19609.32</v>
      </c>
      <c r="M21" s="795">
        <f t="shared" si="5"/>
        <v>19609.32</v>
      </c>
      <c r="R21" s="755"/>
    </row>
    <row r="22" spans="1:13" s="505" customFormat="1" ht="13.5" thickBot="1">
      <c r="A22" s="796">
        <v>17</v>
      </c>
      <c r="B22" s="797" t="s">
        <v>179</v>
      </c>
      <c r="C22" s="798" t="s">
        <v>21</v>
      </c>
      <c r="D22" s="799" t="s">
        <v>6</v>
      </c>
      <c r="E22" s="800" t="s">
        <v>277</v>
      </c>
      <c r="F22" s="801"/>
      <c r="G22" s="802">
        <v>0</v>
      </c>
      <c r="H22" s="802">
        <v>0</v>
      </c>
      <c r="I22" s="802">
        <v>0</v>
      </c>
      <c r="J22" s="802">
        <v>0</v>
      </c>
      <c r="K22" s="802">
        <v>0</v>
      </c>
      <c r="L22" s="802">
        <v>0</v>
      </c>
      <c r="M22" s="802">
        <v>0</v>
      </c>
    </row>
    <row r="23" spans="1:18" s="505" customFormat="1" ht="14.25" thickBot="1" thickTop="1">
      <c r="A23" s="803">
        <v>18</v>
      </c>
      <c r="B23" s="804"/>
      <c r="C23" s="805"/>
      <c r="D23" s="806"/>
      <c r="E23" s="807" t="s">
        <v>164</v>
      </c>
      <c r="F23" s="808"/>
      <c r="G23" s="809">
        <f>G24+G25+G26</f>
        <v>1547.1699999999998</v>
      </c>
      <c r="H23" s="809">
        <f aca="true" t="shared" si="6" ref="H23:M23">H24+H25+H26</f>
        <v>2084.92</v>
      </c>
      <c r="I23" s="809">
        <f t="shared" si="6"/>
        <v>1490</v>
      </c>
      <c r="J23" s="809">
        <f t="shared" si="6"/>
        <v>1700</v>
      </c>
      <c r="K23" s="809">
        <f t="shared" si="6"/>
        <v>1700</v>
      </c>
      <c r="L23" s="809">
        <f t="shared" si="6"/>
        <v>1700</v>
      </c>
      <c r="M23" s="809">
        <f t="shared" si="6"/>
        <v>1700</v>
      </c>
      <c r="R23" s="755"/>
    </row>
    <row r="24" spans="1:18" s="505" customFormat="1" ht="13.5" thickTop="1">
      <c r="A24" s="441">
        <v>19</v>
      </c>
      <c r="B24" s="451"/>
      <c r="C24" s="810" t="s">
        <v>37</v>
      </c>
      <c r="D24" s="772" t="s">
        <v>27</v>
      </c>
      <c r="E24" s="1102" t="s">
        <v>578</v>
      </c>
      <c r="F24" s="384"/>
      <c r="G24" s="811">
        <v>1498.57</v>
      </c>
      <c r="H24" s="811">
        <v>1528.06</v>
      </c>
      <c r="I24" s="811">
        <v>1490</v>
      </c>
      <c r="J24" s="811">
        <v>1700</v>
      </c>
      <c r="K24" s="811">
        <v>1700</v>
      </c>
      <c r="L24" s="811">
        <v>1700</v>
      </c>
      <c r="M24" s="811">
        <v>1700</v>
      </c>
      <c r="R24" s="755"/>
    </row>
    <row r="25" spans="1:18" s="505" customFormat="1" ht="12.75">
      <c r="A25" s="812">
        <v>20</v>
      </c>
      <c r="B25" s="451"/>
      <c r="C25" s="762" t="s">
        <v>179</v>
      </c>
      <c r="D25" s="772" t="s">
        <v>21</v>
      </c>
      <c r="E25" s="1102" t="s">
        <v>577</v>
      </c>
      <c r="F25" s="384"/>
      <c r="G25" s="778">
        <v>0</v>
      </c>
      <c r="H25" s="778">
        <v>534.36</v>
      </c>
      <c r="I25" s="778">
        <v>0</v>
      </c>
      <c r="J25" s="778">
        <v>0</v>
      </c>
      <c r="K25" s="778">
        <v>0</v>
      </c>
      <c r="L25" s="778">
        <v>0</v>
      </c>
      <c r="M25" s="778">
        <v>0</v>
      </c>
      <c r="R25" s="755"/>
    </row>
    <row r="26" spans="1:13" s="505" customFormat="1" ht="13.5" thickBot="1">
      <c r="A26" s="813">
        <v>21</v>
      </c>
      <c r="B26" s="814"/>
      <c r="C26" s="815" t="s">
        <v>37</v>
      </c>
      <c r="D26" s="816" t="s">
        <v>27</v>
      </c>
      <c r="E26" s="817">
        <v>9</v>
      </c>
      <c r="F26" s="818" t="s">
        <v>225</v>
      </c>
      <c r="G26" s="819">
        <v>48.6</v>
      </c>
      <c r="H26" s="819">
        <v>22.5</v>
      </c>
      <c r="I26" s="819">
        <v>0</v>
      </c>
      <c r="J26" s="819">
        <v>0</v>
      </c>
      <c r="K26" s="819">
        <v>0</v>
      </c>
      <c r="L26" s="819">
        <v>0</v>
      </c>
      <c r="M26" s="819">
        <v>0</v>
      </c>
    </row>
    <row r="27" spans="1:18" s="505" customFormat="1" ht="14.25" thickBot="1" thickTop="1">
      <c r="A27" s="803">
        <v>22</v>
      </c>
      <c r="B27" s="804"/>
      <c r="C27" s="805"/>
      <c r="D27" s="820" t="s">
        <v>21</v>
      </c>
      <c r="E27" s="821" t="s">
        <v>196</v>
      </c>
      <c r="F27" s="822"/>
      <c r="G27" s="809">
        <f>G28+G29+G30+G32+G33+G34+G35+G36</f>
        <v>22889.89</v>
      </c>
      <c r="H27" s="809">
        <f aca="true" t="shared" si="7" ref="H27:M27">SUM(H28:H36)</f>
        <v>16698.32</v>
      </c>
      <c r="I27" s="809">
        <f t="shared" si="7"/>
        <v>17909.32</v>
      </c>
      <c r="J27" s="809">
        <f t="shared" si="7"/>
        <v>18110.32</v>
      </c>
      <c r="K27" s="809">
        <f t="shared" si="7"/>
        <v>17909.32</v>
      </c>
      <c r="L27" s="809">
        <f t="shared" si="7"/>
        <v>17909.32</v>
      </c>
      <c r="M27" s="809">
        <f t="shared" si="7"/>
        <v>17909.32</v>
      </c>
      <c r="R27" s="755"/>
    </row>
    <row r="28" spans="1:18" s="505" customFormat="1" ht="13.5" thickTop="1">
      <c r="A28" s="812">
        <v>23</v>
      </c>
      <c r="B28" s="451"/>
      <c r="C28" s="810"/>
      <c r="D28" s="823"/>
      <c r="E28" s="824">
        <v>1</v>
      </c>
      <c r="F28" s="581" t="s">
        <v>195</v>
      </c>
      <c r="G28" s="811">
        <v>5645.73</v>
      </c>
      <c r="H28" s="811">
        <v>0</v>
      </c>
      <c r="I28" s="811">
        <v>0</v>
      </c>
      <c r="J28" s="811">
        <v>0</v>
      </c>
      <c r="K28" s="811">
        <v>0</v>
      </c>
      <c r="L28" s="811">
        <v>0</v>
      </c>
      <c r="M28" s="811">
        <v>0</v>
      </c>
      <c r="R28" s="755"/>
    </row>
    <row r="29" spans="1:18" s="505" customFormat="1" ht="12.75">
      <c r="A29" s="441">
        <v>24</v>
      </c>
      <c r="B29" s="451"/>
      <c r="C29" s="810"/>
      <c r="D29" s="823"/>
      <c r="E29" s="824">
        <v>2</v>
      </c>
      <c r="F29" s="825" t="s">
        <v>193</v>
      </c>
      <c r="G29" s="778">
        <v>2371.16</v>
      </c>
      <c r="H29" s="778">
        <v>2371.16</v>
      </c>
      <c r="I29" s="778">
        <v>2371.16</v>
      </c>
      <c r="J29" s="778">
        <v>2371.16</v>
      </c>
      <c r="K29" s="778">
        <v>2371.16</v>
      </c>
      <c r="L29" s="778">
        <v>2371.16</v>
      </c>
      <c r="M29" s="778">
        <v>2371.16</v>
      </c>
      <c r="R29" s="755"/>
    </row>
    <row r="30" spans="1:18" s="505" customFormat="1" ht="12.75">
      <c r="A30" s="812">
        <v>25</v>
      </c>
      <c r="B30" s="451"/>
      <c r="C30" s="810"/>
      <c r="D30" s="823"/>
      <c r="E30" s="824">
        <v>3</v>
      </c>
      <c r="F30" s="825" t="s">
        <v>194</v>
      </c>
      <c r="G30" s="778">
        <v>0</v>
      </c>
      <c r="H30" s="778">
        <v>0</v>
      </c>
      <c r="I30" s="778">
        <v>0</v>
      </c>
      <c r="J30" s="778">
        <v>0</v>
      </c>
      <c r="K30" s="781">
        <v>0</v>
      </c>
      <c r="L30" s="781">
        <v>0</v>
      </c>
      <c r="M30" s="781">
        <v>0</v>
      </c>
      <c r="R30" s="755"/>
    </row>
    <row r="31" spans="1:18" s="505" customFormat="1" ht="12.75">
      <c r="A31" s="812">
        <v>26</v>
      </c>
      <c r="B31" s="451"/>
      <c r="C31" s="810"/>
      <c r="D31" s="823"/>
      <c r="E31" s="824"/>
      <c r="F31" s="581" t="s">
        <v>437</v>
      </c>
      <c r="G31" s="778">
        <v>0</v>
      </c>
      <c r="H31" s="778">
        <v>150</v>
      </c>
      <c r="I31" s="778">
        <v>360</v>
      </c>
      <c r="J31" s="778">
        <v>360</v>
      </c>
      <c r="K31" s="781">
        <f>12*30</f>
        <v>360</v>
      </c>
      <c r="L31" s="781">
        <f>12*30</f>
        <v>360</v>
      </c>
      <c r="M31" s="781">
        <f>12*30</f>
        <v>360</v>
      </c>
      <c r="R31" s="755"/>
    </row>
    <row r="32" spans="1:13" s="505" customFormat="1" ht="12.75">
      <c r="A32" s="441">
        <v>27</v>
      </c>
      <c r="B32" s="451"/>
      <c r="C32" s="810"/>
      <c r="D32" s="823"/>
      <c r="E32" s="824">
        <v>4</v>
      </c>
      <c r="F32" s="581" t="s">
        <v>538</v>
      </c>
      <c r="G32" s="778">
        <v>0</v>
      </c>
      <c r="H32" s="778">
        <v>2.16</v>
      </c>
      <c r="I32" s="778">
        <v>2.16</v>
      </c>
      <c r="J32" s="778">
        <v>2.16</v>
      </c>
      <c r="K32" s="778">
        <v>2.16</v>
      </c>
      <c r="L32" s="778">
        <v>2.16</v>
      </c>
      <c r="M32" s="778">
        <v>2.16</v>
      </c>
    </row>
    <row r="33" spans="1:13" s="505" customFormat="1" ht="18.75" customHeight="1">
      <c r="A33" s="812">
        <v>28</v>
      </c>
      <c r="B33" s="451"/>
      <c r="C33" s="810"/>
      <c r="D33" s="823"/>
      <c r="E33" s="824">
        <v>5</v>
      </c>
      <c r="F33" s="581" t="s">
        <v>588</v>
      </c>
      <c r="G33" s="778">
        <v>170</v>
      </c>
      <c r="H33" s="778">
        <v>0</v>
      </c>
      <c r="I33" s="778">
        <v>100</v>
      </c>
      <c r="J33" s="778">
        <v>350</v>
      </c>
      <c r="K33" s="778">
        <v>100</v>
      </c>
      <c r="L33" s="778">
        <v>100</v>
      </c>
      <c r="M33" s="778">
        <v>100</v>
      </c>
    </row>
    <row r="34" spans="1:18" s="505" customFormat="1" ht="12.75">
      <c r="A34" s="441">
        <v>29</v>
      </c>
      <c r="B34" s="451"/>
      <c r="C34" s="810"/>
      <c r="D34" s="823"/>
      <c r="E34" s="826">
        <v>6</v>
      </c>
      <c r="F34" s="827" t="s">
        <v>450</v>
      </c>
      <c r="G34" s="778">
        <v>0</v>
      </c>
      <c r="H34" s="778">
        <v>0</v>
      </c>
      <c r="I34" s="778">
        <v>2</v>
      </c>
      <c r="J34" s="778">
        <v>2</v>
      </c>
      <c r="K34" s="778">
        <v>2</v>
      </c>
      <c r="L34" s="778">
        <v>2</v>
      </c>
      <c r="M34" s="778">
        <v>2</v>
      </c>
      <c r="R34" s="755"/>
    </row>
    <row r="35" spans="1:18" s="505" customFormat="1" ht="12.75">
      <c r="A35" s="441">
        <v>30</v>
      </c>
      <c r="B35" s="451"/>
      <c r="C35" s="810"/>
      <c r="D35" s="823"/>
      <c r="E35" s="828"/>
      <c r="F35" s="827" t="s">
        <v>456</v>
      </c>
      <c r="G35" s="778">
        <v>14703</v>
      </c>
      <c r="H35" s="778">
        <v>14174</v>
      </c>
      <c r="I35" s="778">
        <v>15024</v>
      </c>
      <c r="J35" s="778">
        <v>15024</v>
      </c>
      <c r="K35" s="778">
        <v>15024</v>
      </c>
      <c r="L35" s="778">
        <v>15024</v>
      </c>
      <c r="M35" s="778">
        <v>15024</v>
      </c>
      <c r="R35" s="755"/>
    </row>
    <row r="36" spans="1:13" s="505" customFormat="1" ht="13.5" thickBot="1">
      <c r="A36" s="829">
        <v>31</v>
      </c>
      <c r="B36" s="830"/>
      <c r="C36" s="831" t="s">
        <v>37</v>
      </c>
      <c r="D36" s="832" t="s">
        <v>41</v>
      </c>
      <c r="E36" s="833" t="s">
        <v>165</v>
      </c>
      <c r="F36" s="834"/>
      <c r="G36" s="835">
        <v>0</v>
      </c>
      <c r="H36" s="835">
        <v>1</v>
      </c>
      <c r="I36" s="835">
        <v>50</v>
      </c>
      <c r="J36" s="835">
        <v>1</v>
      </c>
      <c r="K36" s="835">
        <v>50</v>
      </c>
      <c r="L36" s="835">
        <v>50</v>
      </c>
      <c r="M36" s="835">
        <v>50</v>
      </c>
    </row>
    <row r="37" spans="1:18" s="505" customFormat="1" ht="13.5" thickBot="1">
      <c r="A37" s="748">
        <v>32</v>
      </c>
      <c r="B37" s="836" t="s">
        <v>38</v>
      </c>
      <c r="C37" s="837"/>
      <c r="D37" s="838"/>
      <c r="E37" s="665" t="s">
        <v>39</v>
      </c>
      <c r="F37" s="839"/>
      <c r="G37" s="840">
        <f aca="true" t="shared" si="8" ref="G37:M37">G38+G44</f>
        <v>79015.54</v>
      </c>
      <c r="H37" s="840">
        <f t="shared" si="8"/>
        <v>82911.87</v>
      </c>
      <c r="I37" s="840">
        <f t="shared" si="8"/>
        <v>76388</v>
      </c>
      <c r="J37" s="840">
        <f t="shared" si="8"/>
        <v>110118</v>
      </c>
      <c r="K37" s="840">
        <f t="shared" si="8"/>
        <v>107888</v>
      </c>
      <c r="L37" s="840">
        <f t="shared" si="8"/>
        <v>107888</v>
      </c>
      <c r="M37" s="840">
        <f t="shared" si="8"/>
        <v>107888</v>
      </c>
      <c r="R37" s="755"/>
    </row>
    <row r="38" spans="1:18" s="505" customFormat="1" ht="13.5" thickBot="1">
      <c r="A38" s="841">
        <v>33</v>
      </c>
      <c r="B38" s="842"/>
      <c r="C38" s="843" t="s">
        <v>40</v>
      </c>
      <c r="D38" s="844" t="s">
        <v>41</v>
      </c>
      <c r="E38" s="845" t="s">
        <v>166</v>
      </c>
      <c r="F38" s="846"/>
      <c r="G38" s="847">
        <f>G39+G40+G41+G42+G43</f>
        <v>14542.9</v>
      </c>
      <c r="H38" s="847">
        <f aca="true" t="shared" si="9" ref="H38:M38">H39+H40+H41+H42+H43</f>
        <v>19552.97</v>
      </c>
      <c r="I38" s="847">
        <f t="shared" si="9"/>
        <v>15500</v>
      </c>
      <c r="J38" s="847">
        <f t="shared" si="9"/>
        <v>16720</v>
      </c>
      <c r="K38" s="847">
        <f t="shared" si="9"/>
        <v>15500</v>
      </c>
      <c r="L38" s="847">
        <f t="shared" si="9"/>
        <v>15500</v>
      </c>
      <c r="M38" s="847">
        <f t="shared" si="9"/>
        <v>15500</v>
      </c>
      <c r="R38" s="755"/>
    </row>
    <row r="39" spans="1:18" s="505" customFormat="1" ht="13.5" thickTop="1">
      <c r="A39" s="441">
        <v>34</v>
      </c>
      <c r="B39" s="451"/>
      <c r="C39" s="451"/>
      <c r="D39" s="848"/>
      <c r="E39" s="824">
        <v>1</v>
      </c>
      <c r="F39" s="827" t="s">
        <v>423</v>
      </c>
      <c r="G39" s="811">
        <v>0</v>
      </c>
      <c r="H39" s="811">
        <v>0</v>
      </c>
      <c r="I39" s="811">
        <v>0</v>
      </c>
      <c r="J39" s="811">
        <v>0</v>
      </c>
      <c r="K39" s="811">
        <v>0</v>
      </c>
      <c r="L39" s="811">
        <v>0</v>
      </c>
      <c r="M39" s="811">
        <v>0</v>
      </c>
      <c r="R39" s="755"/>
    </row>
    <row r="40" spans="1:18" s="505" customFormat="1" ht="12.75">
      <c r="A40" s="812">
        <v>35</v>
      </c>
      <c r="B40" s="451"/>
      <c r="C40" s="451"/>
      <c r="D40" s="848"/>
      <c r="E40" s="824">
        <v>2</v>
      </c>
      <c r="F40" s="384" t="s">
        <v>111</v>
      </c>
      <c r="G40" s="778">
        <v>13862.66</v>
      </c>
      <c r="H40" s="778">
        <v>18221.73</v>
      </c>
      <c r="I40" s="778">
        <v>15000</v>
      </c>
      <c r="J40" s="778">
        <v>16020</v>
      </c>
      <c r="K40" s="778">
        <v>15000</v>
      </c>
      <c r="L40" s="778">
        <v>15000</v>
      </c>
      <c r="M40" s="778">
        <v>15000</v>
      </c>
      <c r="R40" s="755"/>
    </row>
    <row r="41" spans="1:13" s="505" customFormat="1" ht="12.75">
      <c r="A41" s="441">
        <v>36</v>
      </c>
      <c r="B41" s="451"/>
      <c r="C41" s="451"/>
      <c r="D41" s="848"/>
      <c r="E41" s="824"/>
      <c r="F41" s="384" t="s">
        <v>145</v>
      </c>
      <c r="G41" s="778">
        <v>0</v>
      </c>
      <c r="H41" s="778">
        <v>0</v>
      </c>
      <c r="I41" s="778">
        <v>0</v>
      </c>
      <c r="J41" s="778">
        <v>0</v>
      </c>
      <c r="K41" s="778">
        <v>0</v>
      </c>
      <c r="L41" s="778">
        <v>0</v>
      </c>
      <c r="M41" s="778">
        <v>0</v>
      </c>
    </row>
    <row r="42" spans="1:18" s="505" customFormat="1" ht="12.75">
      <c r="A42" s="812">
        <v>37</v>
      </c>
      <c r="B42" s="451"/>
      <c r="C42" s="451"/>
      <c r="D42" s="848"/>
      <c r="E42" s="824">
        <v>4</v>
      </c>
      <c r="F42" s="827" t="s">
        <v>590</v>
      </c>
      <c r="G42" s="778">
        <v>680.24</v>
      </c>
      <c r="H42" s="778">
        <v>1331.24</v>
      </c>
      <c r="I42" s="778">
        <v>500</v>
      </c>
      <c r="J42" s="781">
        <v>700</v>
      </c>
      <c r="K42" s="778">
        <v>500</v>
      </c>
      <c r="L42" s="778">
        <v>500</v>
      </c>
      <c r="M42" s="778">
        <v>500</v>
      </c>
      <c r="R42" s="755"/>
    </row>
    <row r="43" spans="1:13" s="505" customFormat="1" ht="13.5" thickBot="1">
      <c r="A43" s="723">
        <v>38</v>
      </c>
      <c r="B43" s="814"/>
      <c r="C43" s="849"/>
      <c r="D43" s="850"/>
      <c r="E43" s="817"/>
      <c r="F43" s="851" t="s">
        <v>109</v>
      </c>
      <c r="G43" s="819">
        <v>0</v>
      </c>
      <c r="H43" s="819">
        <v>0</v>
      </c>
      <c r="I43" s="819">
        <v>0</v>
      </c>
      <c r="J43" s="819">
        <v>0</v>
      </c>
      <c r="K43" s="819">
        <v>0</v>
      </c>
      <c r="L43" s="819">
        <v>0</v>
      </c>
      <c r="M43" s="819">
        <v>0</v>
      </c>
    </row>
    <row r="44" spans="1:18" s="505" customFormat="1" ht="14.25" thickBot="1" thickTop="1">
      <c r="A44" s="852">
        <v>39</v>
      </c>
      <c r="B44" s="804"/>
      <c r="C44" s="805" t="s">
        <v>42</v>
      </c>
      <c r="D44" s="820" t="s">
        <v>25</v>
      </c>
      <c r="E44" s="821" t="s">
        <v>533</v>
      </c>
      <c r="F44" s="853"/>
      <c r="G44" s="809">
        <f>SUM(G45:G53)</f>
        <v>64472.64</v>
      </c>
      <c r="H44" s="809">
        <f aca="true" t="shared" si="10" ref="H44:M44">SUM(H45:H53)</f>
        <v>63358.9</v>
      </c>
      <c r="I44" s="809">
        <f t="shared" si="10"/>
        <v>60888</v>
      </c>
      <c r="J44" s="809">
        <f t="shared" si="10"/>
        <v>93398</v>
      </c>
      <c r="K44" s="809">
        <f t="shared" si="10"/>
        <v>92388</v>
      </c>
      <c r="L44" s="809">
        <f t="shared" si="10"/>
        <v>92388</v>
      </c>
      <c r="M44" s="809">
        <f t="shared" si="10"/>
        <v>92388</v>
      </c>
      <c r="R44" s="755"/>
    </row>
    <row r="45" spans="1:13" s="505" customFormat="1" ht="13.5" thickTop="1">
      <c r="A45" s="441">
        <v>40</v>
      </c>
      <c r="B45" s="451"/>
      <c r="C45" s="854"/>
      <c r="D45" s="772"/>
      <c r="E45" s="855">
        <v>1</v>
      </c>
      <c r="F45" s="856" t="s">
        <v>464</v>
      </c>
      <c r="G45" s="811">
        <v>20</v>
      </c>
      <c r="H45" s="811">
        <v>0</v>
      </c>
      <c r="I45" s="811">
        <v>0</v>
      </c>
      <c r="J45" s="811">
        <v>0</v>
      </c>
      <c r="K45" s="811">
        <v>0</v>
      </c>
      <c r="L45" s="811">
        <v>0</v>
      </c>
      <c r="M45" s="811">
        <v>0</v>
      </c>
    </row>
    <row r="46" spans="1:13" s="505" customFormat="1" ht="12.75">
      <c r="A46" s="812">
        <v>41</v>
      </c>
      <c r="B46" s="451"/>
      <c r="C46" s="854"/>
      <c r="D46" s="772"/>
      <c r="E46" s="855">
        <v>2</v>
      </c>
      <c r="F46" s="856" t="s">
        <v>546</v>
      </c>
      <c r="G46" s="781">
        <v>940.14</v>
      </c>
      <c r="H46" s="781">
        <v>650.7</v>
      </c>
      <c r="I46" s="781">
        <v>850</v>
      </c>
      <c r="J46" s="781">
        <v>860</v>
      </c>
      <c r="K46" s="781">
        <v>850</v>
      </c>
      <c r="L46" s="781">
        <v>850</v>
      </c>
      <c r="M46" s="781">
        <v>850</v>
      </c>
    </row>
    <row r="47" spans="1:13" s="505" customFormat="1" ht="12.75">
      <c r="A47" s="812">
        <v>42</v>
      </c>
      <c r="B47" s="451"/>
      <c r="C47" s="854"/>
      <c r="D47" s="772"/>
      <c r="E47" s="855">
        <v>25</v>
      </c>
      <c r="F47" s="827" t="s">
        <v>438</v>
      </c>
      <c r="G47" s="781">
        <v>43.7</v>
      </c>
      <c r="H47" s="781">
        <v>32.7</v>
      </c>
      <c r="I47" s="781">
        <v>38</v>
      </c>
      <c r="J47" s="781">
        <v>38</v>
      </c>
      <c r="K47" s="781">
        <v>38</v>
      </c>
      <c r="L47" s="781">
        <v>38</v>
      </c>
      <c r="M47" s="781">
        <v>38</v>
      </c>
    </row>
    <row r="48" spans="1:13" s="505" customFormat="1" ht="12.75">
      <c r="A48" s="441">
        <v>43</v>
      </c>
      <c r="B48" s="857"/>
      <c r="C48" s="858"/>
      <c r="D48" s="859"/>
      <c r="E48" s="860" t="s">
        <v>288</v>
      </c>
      <c r="F48" s="861"/>
      <c r="G48" s="778">
        <v>188.8</v>
      </c>
      <c r="H48" s="778">
        <v>0</v>
      </c>
      <c r="I48" s="778">
        <v>0</v>
      </c>
      <c r="J48" s="778">
        <v>0</v>
      </c>
      <c r="K48" s="778">
        <v>0</v>
      </c>
      <c r="L48" s="778">
        <v>0</v>
      </c>
      <c r="M48" s="778">
        <v>0</v>
      </c>
    </row>
    <row r="49" spans="1:13" s="505" customFormat="1" ht="12.75">
      <c r="A49" s="812">
        <v>44</v>
      </c>
      <c r="B49" s="857"/>
      <c r="C49" s="858"/>
      <c r="D49" s="859"/>
      <c r="E49" s="860">
        <v>7</v>
      </c>
      <c r="F49" s="861" t="s">
        <v>463</v>
      </c>
      <c r="G49" s="781">
        <v>29852</v>
      </c>
      <c r="H49" s="781">
        <v>32098</v>
      </c>
      <c r="I49" s="781">
        <v>30000</v>
      </c>
      <c r="J49" s="781">
        <v>42000</v>
      </c>
      <c r="K49" s="781">
        <v>42000</v>
      </c>
      <c r="L49" s="781">
        <v>42000</v>
      </c>
      <c r="M49" s="781">
        <v>42000</v>
      </c>
    </row>
    <row r="50" spans="1:18" s="505" customFormat="1" ht="12.75">
      <c r="A50" s="441">
        <v>45</v>
      </c>
      <c r="B50" s="857"/>
      <c r="C50" s="1134"/>
      <c r="D50" s="859"/>
      <c r="E50" s="1000" t="s">
        <v>586</v>
      </c>
      <c r="F50" s="393"/>
      <c r="G50" s="778">
        <v>33390</v>
      </c>
      <c r="H50" s="778">
        <v>30577.5</v>
      </c>
      <c r="I50" s="778">
        <v>30000</v>
      </c>
      <c r="J50" s="778">
        <v>48000</v>
      </c>
      <c r="K50" s="778">
        <v>47000</v>
      </c>
      <c r="L50" s="778">
        <v>47000</v>
      </c>
      <c r="M50" s="778">
        <v>47000</v>
      </c>
      <c r="R50" s="755"/>
    </row>
    <row r="51" spans="1:18" s="505" customFormat="1" ht="12.75">
      <c r="A51" s="441">
        <v>46</v>
      </c>
      <c r="B51" s="830"/>
      <c r="C51" s="1133"/>
      <c r="D51" s="788"/>
      <c r="E51" s="1113" t="s">
        <v>585</v>
      </c>
      <c r="F51" s="862"/>
      <c r="G51" s="811">
        <v>0</v>
      </c>
      <c r="H51" s="811">
        <v>0</v>
      </c>
      <c r="I51" s="811">
        <v>0</v>
      </c>
      <c r="J51" s="811">
        <v>2500</v>
      </c>
      <c r="K51" s="811">
        <v>2500</v>
      </c>
      <c r="L51" s="778">
        <v>2500</v>
      </c>
      <c r="M51" s="778">
        <v>2500</v>
      </c>
      <c r="R51" s="755"/>
    </row>
    <row r="52" spans="1:13" s="505" customFormat="1" ht="12.75">
      <c r="A52" s="812">
        <v>47</v>
      </c>
      <c r="B52" s="857"/>
      <c r="C52" s="863"/>
      <c r="D52" s="859"/>
      <c r="E52" s="1000" t="s">
        <v>461</v>
      </c>
      <c r="F52" s="393"/>
      <c r="G52" s="785">
        <v>0</v>
      </c>
      <c r="H52" s="785">
        <v>0</v>
      </c>
      <c r="I52" s="785">
        <v>0</v>
      </c>
      <c r="J52" s="785">
        <v>0</v>
      </c>
      <c r="K52" s="785">
        <v>0</v>
      </c>
      <c r="L52" s="785">
        <v>0</v>
      </c>
      <c r="M52" s="785">
        <v>0</v>
      </c>
    </row>
    <row r="53" spans="1:13" s="505" customFormat="1" ht="13.5" thickBot="1">
      <c r="A53" s="441">
        <v>48</v>
      </c>
      <c r="B53" s="857"/>
      <c r="C53" s="865" t="s">
        <v>210</v>
      </c>
      <c r="D53" s="859" t="s">
        <v>21</v>
      </c>
      <c r="E53" s="864"/>
      <c r="F53" s="990" t="s">
        <v>462</v>
      </c>
      <c r="G53" s="785">
        <v>38</v>
      </c>
      <c r="H53" s="785">
        <v>0</v>
      </c>
      <c r="I53" s="785">
        <v>0</v>
      </c>
      <c r="J53" s="785">
        <v>0</v>
      </c>
      <c r="K53" s="785">
        <v>0</v>
      </c>
      <c r="L53" s="785">
        <v>0</v>
      </c>
      <c r="M53" s="785">
        <v>0</v>
      </c>
    </row>
    <row r="54" spans="1:13" s="505" customFormat="1" ht="13.5" thickBot="1">
      <c r="A54" s="866">
        <v>49</v>
      </c>
      <c r="B54" s="836" t="s">
        <v>43</v>
      </c>
      <c r="C54" s="867"/>
      <c r="D54" s="868"/>
      <c r="E54" s="665" t="s">
        <v>44</v>
      </c>
      <c r="F54" s="869"/>
      <c r="G54" s="666">
        <f aca="true" t="shared" si="11" ref="G54:M54">G55</f>
        <v>96.14</v>
      </c>
      <c r="H54" s="666">
        <f t="shared" si="11"/>
        <v>2.48</v>
      </c>
      <c r="I54" s="666">
        <f t="shared" si="11"/>
        <v>20</v>
      </c>
      <c r="J54" s="666">
        <f t="shared" si="11"/>
        <v>10</v>
      </c>
      <c r="K54" s="666">
        <f t="shared" si="11"/>
        <v>10</v>
      </c>
      <c r="L54" s="666">
        <f t="shared" si="11"/>
        <v>10</v>
      </c>
      <c r="M54" s="666">
        <f t="shared" si="11"/>
        <v>10</v>
      </c>
    </row>
    <row r="55" spans="1:13" s="505" customFormat="1" ht="13.5" thickBot="1">
      <c r="A55" s="458">
        <v>50</v>
      </c>
      <c r="B55" s="830"/>
      <c r="C55" s="870" t="s">
        <v>45</v>
      </c>
      <c r="D55" s="871"/>
      <c r="E55" s="789" t="s">
        <v>46</v>
      </c>
      <c r="F55" s="862"/>
      <c r="G55" s="872">
        <v>96.14</v>
      </c>
      <c r="H55" s="872">
        <v>2.48</v>
      </c>
      <c r="I55" s="872">
        <v>20</v>
      </c>
      <c r="J55" s="872">
        <v>10</v>
      </c>
      <c r="K55" s="872">
        <v>10</v>
      </c>
      <c r="L55" s="872">
        <v>10</v>
      </c>
      <c r="M55" s="872">
        <v>10</v>
      </c>
    </row>
    <row r="56" spans="1:18" s="505" customFormat="1" ht="13.5" thickBot="1">
      <c r="A56" s="866">
        <v>51</v>
      </c>
      <c r="B56" s="836" t="s">
        <v>47</v>
      </c>
      <c r="C56" s="873"/>
      <c r="D56" s="837"/>
      <c r="E56" s="665" t="s">
        <v>48</v>
      </c>
      <c r="F56" s="869"/>
      <c r="G56" s="666">
        <f>G57+G63+G64</f>
        <v>9660.91</v>
      </c>
      <c r="H56" s="666">
        <f aca="true" t="shared" si="12" ref="H56:M56">H57+H63+H64</f>
        <v>3996.35</v>
      </c>
      <c r="I56" s="666">
        <f t="shared" si="12"/>
        <v>5315.92</v>
      </c>
      <c r="J56" s="666">
        <f t="shared" si="12"/>
        <v>4938.32</v>
      </c>
      <c r="K56" s="666">
        <f t="shared" si="12"/>
        <v>5315.92</v>
      </c>
      <c r="L56" s="666">
        <f t="shared" si="12"/>
        <v>5315.92</v>
      </c>
      <c r="M56" s="666">
        <f t="shared" si="12"/>
        <v>5315.92</v>
      </c>
      <c r="R56" s="755"/>
    </row>
    <row r="57" spans="1:18" s="505" customFormat="1" ht="12.75">
      <c r="A57" s="441">
        <v>52</v>
      </c>
      <c r="B57" s="451"/>
      <c r="C57" s="763" t="s">
        <v>110</v>
      </c>
      <c r="D57" s="772" t="s">
        <v>41</v>
      </c>
      <c r="E57" s="874" t="s">
        <v>229</v>
      </c>
      <c r="F57" s="384"/>
      <c r="G57" s="875">
        <f>G58+G59+G60+G61+G62</f>
        <v>3774.92</v>
      </c>
      <c r="H57" s="875">
        <f aca="true" t="shared" si="13" ref="H57:M57">H58+H59+H60+H61+H62</f>
        <v>3791.58</v>
      </c>
      <c r="I57" s="875">
        <f t="shared" si="13"/>
        <v>5315.92</v>
      </c>
      <c r="J57" s="875">
        <f t="shared" si="13"/>
        <v>4887.92</v>
      </c>
      <c r="K57" s="875">
        <f t="shared" si="13"/>
        <v>5315.92</v>
      </c>
      <c r="L57" s="875">
        <f t="shared" si="13"/>
        <v>5315.92</v>
      </c>
      <c r="M57" s="875">
        <f t="shared" si="13"/>
        <v>5315.92</v>
      </c>
      <c r="R57" s="755"/>
    </row>
    <row r="58" spans="1:13" s="505" customFormat="1" ht="12.75">
      <c r="A58" s="812">
        <v>53</v>
      </c>
      <c r="B58" s="876"/>
      <c r="C58" s="782"/>
      <c r="D58" s="782"/>
      <c r="E58" s="877" t="s">
        <v>547</v>
      </c>
      <c r="F58" s="878"/>
      <c r="G58" s="781">
        <v>0</v>
      </c>
      <c r="H58" s="781">
        <v>165</v>
      </c>
      <c r="I58" s="781">
        <v>396</v>
      </c>
      <c r="J58" s="781">
        <v>396</v>
      </c>
      <c r="K58" s="781">
        <f>12*33</f>
        <v>396</v>
      </c>
      <c r="L58" s="781">
        <f>12*33</f>
        <v>396</v>
      </c>
      <c r="M58" s="781">
        <f>12*33</f>
        <v>396</v>
      </c>
    </row>
    <row r="59" spans="1:13" s="505" customFormat="1" ht="12.75">
      <c r="A59" s="441">
        <v>54</v>
      </c>
      <c r="B59" s="876"/>
      <c r="C59" s="782"/>
      <c r="D59" s="782"/>
      <c r="E59" s="877" t="s">
        <v>451</v>
      </c>
      <c r="F59" s="878"/>
      <c r="G59" s="781">
        <v>0</v>
      </c>
      <c r="H59" s="781">
        <v>0</v>
      </c>
      <c r="I59" s="781">
        <v>1200</v>
      </c>
      <c r="J59" s="781">
        <v>1200</v>
      </c>
      <c r="K59" s="781">
        <f>(12*50)*2</f>
        <v>1200</v>
      </c>
      <c r="L59" s="781">
        <f>(12*50)*2</f>
        <v>1200</v>
      </c>
      <c r="M59" s="781">
        <f>(12*50)*2</f>
        <v>1200</v>
      </c>
    </row>
    <row r="60" spans="1:18" s="505" customFormat="1" ht="12.75">
      <c r="A60" s="441">
        <v>55</v>
      </c>
      <c r="B60" s="451"/>
      <c r="C60" s="763"/>
      <c r="D60" s="772"/>
      <c r="E60" s="777" t="s">
        <v>217</v>
      </c>
      <c r="F60" s="384"/>
      <c r="G60" s="778">
        <v>2389.92</v>
      </c>
      <c r="H60" s="778">
        <v>2389.92</v>
      </c>
      <c r="I60" s="778">
        <v>2389.92</v>
      </c>
      <c r="J60" s="778">
        <v>2389.92</v>
      </c>
      <c r="K60" s="778">
        <f>12*199.16</f>
        <v>2389.92</v>
      </c>
      <c r="L60" s="778">
        <f>12*199.16</f>
        <v>2389.92</v>
      </c>
      <c r="M60" s="778">
        <f>12*199.16</f>
        <v>2389.92</v>
      </c>
      <c r="R60" s="755"/>
    </row>
    <row r="61" spans="1:18" s="505" customFormat="1" ht="12.75">
      <c r="A61" s="812">
        <v>56</v>
      </c>
      <c r="B61" s="451"/>
      <c r="C61" s="763"/>
      <c r="D61" s="772"/>
      <c r="E61" s="777" t="s">
        <v>216</v>
      </c>
      <c r="F61" s="384"/>
      <c r="G61" s="778">
        <v>1170</v>
      </c>
      <c r="H61" s="778">
        <v>900</v>
      </c>
      <c r="I61" s="778">
        <v>1080</v>
      </c>
      <c r="J61" s="778">
        <v>585</v>
      </c>
      <c r="K61" s="778">
        <f>12*90</f>
        <v>1080</v>
      </c>
      <c r="L61" s="778">
        <f>12*90</f>
        <v>1080</v>
      </c>
      <c r="M61" s="778">
        <f>12*90</f>
        <v>1080</v>
      </c>
      <c r="R61" s="755"/>
    </row>
    <row r="62" spans="1:13" s="505" customFormat="1" ht="12.75">
      <c r="A62" s="441">
        <v>57</v>
      </c>
      <c r="B62" s="451"/>
      <c r="C62" s="763"/>
      <c r="D62" s="772"/>
      <c r="E62" s="1102" t="s">
        <v>539</v>
      </c>
      <c r="F62" s="384"/>
      <c r="G62" s="778">
        <v>215</v>
      </c>
      <c r="H62" s="778">
        <v>336.66</v>
      </c>
      <c r="I62" s="778">
        <v>250</v>
      </c>
      <c r="J62" s="778">
        <v>317</v>
      </c>
      <c r="K62" s="778">
        <v>250</v>
      </c>
      <c r="L62" s="778">
        <v>250</v>
      </c>
      <c r="M62" s="778">
        <v>250</v>
      </c>
    </row>
    <row r="63" spans="1:13" s="505" customFormat="1" ht="12.75">
      <c r="A63" s="812">
        <v>58</v>
      </c>
      <c r="B63" s="876"/>
      <c r="C63" s="879" t="s">
        <v>49</v>
      </c>
      <c r="D63" s="879" t="s">
        <v>50</v>
      </c>
      <c r="E63" s="880" t="s">
        <v>197</v>
      </c>
      <c r="F63" s="881"/>
      <c r="G63" s="775">
        <v>16.49</v>
      </c>
      <c r="H63" s="775">
        <v>0</v>
      </c>
      <c r="I63" s="775">
        <v>0</v>
      </c>
      <c r="J63" s="775">
        <v>0</v>
      </c>
      <c r="K63" s="775">
        <v>0</v>
      </c>
      <c r="L63" s="775">
        <v>0</v>
      </c>
      <c r="M63" s="775">
        <v>0</v>
      </c>
    </row>
    <row r="64" spans="1:18" s="505" customFormat="1" ht="13.5" thickBot="1">
      <c r="A64" s="458">
        <v>59</v>
      </c>
      <c r="B64" s="882"/>
      <c r="C64" s="883" t="s">
        <v>49</v>
      </c>
      <c r="D64" s="883" t="s">
        <v>140</v>
      </c>
      <c r="E64" s="884" t="s">
        <v>238</v>
      </c>
      <c r="F64" s="1003" t="s">
        <v>473</v>
      </c>
      <c r="G64" s="885">
        <v>5869.5</v>
      </c>
      <c r="H64" s="885">
        <v>204.77</v>
      </c>
      <c r="I64" s="885">
        <v>0</v>
      </c>
      <c r="J64" s="885">
        <v>50.4</v>
      </c>
      <c r="K64" s="885">
        <v>0</v>
      </c>
      <c r="L64" s="885">
        <v>0</v>
      </c>
      <c r="M64" s="885">
        <v>0</v>
      </c>
      <c r="R64" s="755"/>
    </row>
    <row r="65" spans="1:18" s="505" customFormat="1" ht="13.5" thickBot="1">
      <c r="A65" s="866">
        <v>60</v>
      </c>
      <c r="B65" s="749" t="s">
        <v>56</v>
      </c>
      <c r="C65" s="750"/>
      <c r="D65" s="751"/>
      <c r="E65" s="752" t="s">
        <v>57</v>
      </c>
      <c r="F65" s="753"/>
      <c r="G65" s="754">
        <f aca="true" t="shared" si="14" ref="G65:M65">G66+G85</f>
        <v>392745.68000000005</v>
      </c>
      <c r="H65" s="754">
        <f t="shared" si="14"/>
        <v>480962.88</v>
      </c>
      <c r="I65" s="754">
        <f t="shared" si="14"/>
        <v>487687.02999999997</v>
      </c>
      <c r="J65" s="754">
        <f t="shared" si="14"/>
        <v>551762.26</v>
      </c>
      <c r="K65" s="754">
        <f t="shared" si="14"/>
        <v>548218.7</v>
      </c>
      <c r="L65" s="754">
        <f t="shared" si="14"/>
        <v>498581.69999999995</v>
      </c>
      <c r="M65" s="754">
        <f t="shared" si="14"/>
        <v>498581.69999999995</v>
      </c>
      <c r="R65" s="755"/>
    </row>
    <row r="66" spans="1:18" s="505" customFormat="1" ht="13.5" thickBot="1">
      <c r="A66" s="748">
        <v>61</v>
      </c>
      <c r="B66" s="836" t="s">
        <v>58</v>
      </c>
      <c r="C66" s="886"/>
      <c r="D66" s="887"/>
      <c r="E66" s="665" t="s">
        <v>59</v>
      </c>
      <c r="F66" s="839"/>
      <c r="G66" s="840">
        <f aca="true" t="shared" si="15" ref="G66:M66">G67</f>
        <v>385745.68000000005</v>
      </c>
      <c r="H66" s="840">
        <f t="shared" si="15"/>
        <v>472962.88</v>
      </c>
      <c r="I66" s="840">
        <f t="shared" si="15"/>
        <v>484687.02999999997</v>
      </c>
      <c r="J66" s="840">
        <f t="shared" si="15"/>
        <v>548762.26</v>
      </c>
      <c r="K66" s="840">
        <f t="shared" si="15"/>
        <v>545218.7</v>
      </c>
      <c r="L66" s="840">
        <f t="shared" si="15"/>
        <v>495581.69999999995</v>
      </c>
      <c r="M66" s="840">
        <f t="shared" si="15"/>
        <v>495581.69999999995</v>
      </c>
      <c r="R66" s="755"/>
    </row>
    <row r="67" spans="1:18" s="505" customFormat="1" ht="12.75">
      <c r="A67" s="812">
        <v>62</v>
      </c>
      <c r="B67" s="451"/>
      <c r="C67" s="466"/>
      <c r="D67" s="888"/>
      <c r="E67" s="773" t="s">
        <v>60</v>
      </c>
      <c r="F67" s="773"/>
      <c r="G67" s="889">
        <f>G68+G69+G70+G71+G72+G73+G74+G75+G76+G77+G78+G79+G80+G81+G82</f>
        <v>385745.68000000005</v>
      </c>
      <c r="H67" s="889">
        <f aca="true" t="shared" si="16" ref="H67:M67">SUM(H68:H84)</f>
        <v>472962.88</v>
      </c>
      <c r="I67" s="889">
        <f t="shared" si="16"/>
        <v>484687.02999999997</v>
      </c>
      <c r="J67" s="889">
        <f t="shared" si="16"/>
        <v>548762.26</v>
      </c>
      <c r="K67" s="889">
        <f t="shared" si="16"/>
        <v>545218.7</v>
      </c>
      <c r="L67" s="889">
        <f t="shared" si="16"/>
        <v>495581.69999999995</v>
      </c>
      <c r="M67" s="889">
        <f t="shared" si="16"/>
        <v>495581.69999999995</v>
      </c>
      <c r="R67" s="755"/>
    </row>
    <row r="68" spans="1:18" s="505" customFormat="1" ht="19.5">
      <c r="A68" s="441">
        <v>63</v>
      </c>
      <c r="B68" s="451"/>
      <c r="C68" s="466"/>
      <c r="D68" s="466"/>
      <c r="E68" s="890">
        <v>1</v>
      </c>
      <c r="F68" s="1014" t="s">
        <v>584</v>
      </c>
      <c r="G68" s="781">
        <v>366275</v>
      </c>
      <c r="H68" s="781">
        <v>422064</v>
      </c>
      <c r="I68" s="781">
        <v>422064</v>
      </c>
      <c r="J68" s="781">
        <f>485173-3197+2000</f>
        <v>483976</v>
      </c>
      <c r="K68" s="781">
        <v>478976</v>
      </c>
      <c r="L68" s="781">
        <v>478976</v>
      </c>
      <c r="M68" s="781">
        <v>478976</v>
      </c>
      <c r="R68" s="755"/>
    </row>
    <row r="69" spans="1:18" s="505" customFormat="1" ht="12.75">
      <c r="A69" s="441">
        <v>64</v>
      </c>
      <c r="B69" s="451"/>
      <c r="C69" s="466"/>
      <c r="D69" s="466"/>
      <c r="E69" s="890"/>
      <c r="F69" s="776" t="s">
        <v>348</v>
      </c>
      <c r="G69" s="781">
        <v>2400</v>
      </c>
      <c r="H69" s="781">
        <v>2250</v>
      </c>
      <c r="I69" s="781">
        <v>0</v>
      </c>
      <c r="J69" s="781">
        <v>2700</v>
      </c>
      <c r="K69" s="781">
        <v>0</v>
      </c>
      <c r="L69" s="781">
        <v>0</v>
      </c>
      <c r="M69" s="781">
        <v>0</v>
      </c>
      <c r="R69" s="755"/>
    </row>
    <row r="70" spans="1:18" s="505" customFormat="1" ht="12.75">
      <c r="A70" s="441">
        <v>65</v>
      </c>
      <c r="B70" s="451"/>
      <c r="C70" s="466"/>
      <c r="D70" s="466"/>
      <c r="E70" s="890"/>
      <c r="F70" s="776" t="s">
        <v>349</v>
      </c>
      <c r="G70" s="781">
        <v>1300</v>
      </c>
      <c r="H70" s="781">
        <v>1800</v>
      </c>
      <c r="I70" s="781">
        <v>0</v>
      </c>
      <c r="J70" s="781">
        <v>0</v>
      </c>
      <c r="K70" s="781">
        <v>0</v>
      </c>
      <c r="L70" s="781">
        <v>0</v>
      </c>
      <c r="M70" s="781">
        <v>0</v>
      </c>
      <c r="R70" s="755"/>
    </row>
    <row r="71" spans="1:13" s="505" customFormat="1" ht="12.75">
      <c r="A71" s="441">
        <v>66</v>
      </c>
      <c r="B71" s="451"/>
      <c r="C71" s="466"/>
      <c r="D71" s="466"/>
      <c r="E71" s="890"/>
      <c r="F71" s="776" t="s">
        <v>350</v>
      </c>
      <c r="G71" s="781">
        <v>80</v>
      </c>
      <c r="H71" s="781">
        <v>638</v>
      </c>
      <c r="I71" s="781">
        <v>0</v>
      </c>
      <c r="J71" s="781">
        <v>5968</v>
      </c>
      <c r="K71" s="781">
        <v>0</v>
      </c>
      <c r="L71" s="781">
        <v>0</v>
      </c>
      <c r="M71" s="781">
        <v>0</v>
      </c>
    </row>
    <row r="72" spans="1:18" s="505" customFormat="1" ht="12.75">
      <c r="A72" s="812">
        <v>67</v>
      </c>
      <c r="B72" s="451"/>
      <c r="C72" s="466"/>
      <c r="D72" s="466"/>
      <c r="E72" s="826">
        <v>2</v>
      </c>
      <c r="F72" s="827" t="s">
        <v>465</v>
      </c>
      <c r="G72" s="781">
        <v>5280</v>
      </c>
      <c r="H72" s="781">
        <v>5619</v>
      </c>
      <c r="I72" s="781">
        <v>5619</v>
      </c>
      <c r="J72" s="781">
        <v>6061</v>
      </c>
      <c r="K72" s="781">
        <v>6000</v>
      </c>
      <c r="L72" s="781">
        <v>6000</v>
      </c>
      <c r="M72" s="781">
        <v>6000</v>
      </c>
      <c r="N72" s="1010"/>
      <c r="R72" s="755"/>
    </row>
    <row r="73" spans="1:18" s="505" customFormat="1" ht="12.75">
      <c r="A73" s="812">
        <v>68</v>
      </c>
      <c r="B73" s="451"/>
      <c r="C73" s="891"/>
      <c r="D73" s="892"/>
      <c r="E73" s="826">
        <v>1</v>
      </c>
      <c r="F73" s="827" t="s">
        <v>466</v>
      </c>
      <c r="G73" s="781">
        <v>2019.92</v>
      </c>
      <c r="H73" s="781">
        <v>2237.92</v>
      </c>
      <c r="I73" s="781">
        <v>2237.92</v>
      </c>
      <c r="J73" s="781">
        <v>2407.58</v>
      </c>
      <c r="K73" s="781">
        <v>2141.55</v>
      </c>
      <c r="L73" s="781">
        <v>2141.55</v>
      </c>
      <c r="M73" s="781">
        <v>2141.55</v>
      </c>
      <c r="N73" s="1010"/>
      <c r="R73" s="755"/>
    </row>
    <row r="74" spans="1:18" s="505" customFormat="1" ht="12.75">
      <c r="A74" s="441">
        <v>69</v>
      </c>
      <c r="B74" s="451"/>
      <c r="C74" s="893"/>
      <c r="D74" s="892"/>
      <c r="E74" s="826">
        <v>2</v>
      </c>
      <c r="F74" s="827" t="s">
        <v>467</v>
      </c>
      <c r="G74" s="781">
        <v>1928.07</v>
      </c>
      <c r="H74" s="781">
        <v>2362.55</v>
      </c>
      <c r="I74" s="781">
        <v>2007.99</v>
      </c>
      <c r="J74" s="781">
        <v>2786.95</v>
      </c>
      <c r="K74" s="781">
        <v>2786.95</v>
      </c>
      <c r="L74" s="781">
        <v>2786.95</v>
      </c>
      <c r="M74" s="781">
        <v>2786.95</v>
      </c>
      <c r="N74" s="894"/>
      <c r="O74" s="491"/>
      <c r="P74" s="491"/>
      <c r="Q74" s="709"/>
      <c r="R74" s="755"/>
    </row>
    <row r="75" spans="1:17" s="505" customFormat="1" ht="12.75">
      <c r="A75" s="812">
        <v>70</v>
      </c>
      <c r="B75" s="451"/>
      <c r="C75" s="893"/>
      <c r="D75" s="892"/>
      <c r="E75" s="826">
        <v>3</v>
      </c>
      <c r="F75" s="827" t="s">
        <v>468</v>
      </c>
      <c r="G75" s="781">
        <v>157.64</v>
      </c>
      <c r="H75" s="781">
        <v>169.11</v>
      </c>
      <c r="I75" s="781">
        <v>170</v>
      </c>
      <c r="J75" s="781">
        <v>181.36</v>
      </c>
      <c r="K75" s="781">
        <v>181.36</v>
      </c>
      <c r="L75" s="781">
        <v>181.36</v>
      </c>
      <c r="M75" s="781">
        <v>181.36</v>
      </c>
      <c r="Q75" s="709"/>
    </row>
    <row r="76" spans="1:17" s="505" customFormat="1" ht="12.75">
      <c r="A76" s="441">
        <v>71</v>
      </c>
      <c r="B76" s="451"/>
      <c r="C76" s="893"/>
      <c r="D76" s="892"/>
      <c r="E76" s="826">
        <v>4</v>
      </c>
      <c r="F76" s="827" t="s">
        <v>469</v>
      </c>
      <c r="G76" s="781">
        <v>573.21</v>
      </c>
      <c r="H76" s="781">
        <v>596.97</v>
      </c>
      <c r="I76" s="781">
        <v>596.97</v>
      </c>
      <c r="J76" s="781">
        <v>629.97</v>
      </c>
      <c r="K76" s="781">
        <v>629.97</v>
      </c>
      <c r="L76" s="781">
        <v>629.97</v>
      </c>
      <c r="M76" s="781">
        <v>629.97</v>
      </c>
      <c r="N76" s="1010"/>
      <c r="Q76" s="709"/>
    </row>
    <row r="77" spans="1:17" s="505" customFormat="1" ht="12.75">
      <c r="A77" s="441">
        <v>72</v>
      </c>
      <c r="B77" s="451"/>
      <c r="C77" s="893"/>
      <c r="D77" s="892"/>
      <c r="E77" s="826"/>
      <c r="F77" s="827" t="s">
        <v>470</v>
      </c>
      <c r="G77" s="781">
        <v>144.4</v>
      </c>
      <c r="H77" s="781">
        <v>1242</v>
      </c>
      <c r="I77" s="781">
        <v>1242</v>
      </c>
      <c r="J77" s="781">
        <v>120.4</v>
      </c>
      <c r="K77" s="781">
        <v>120.4</v>
      </c>
      <c r="L77" s="781">
        <v>120.4</v>
      </c>
      <c r="M77" s="781">
        <v>120.4</v>
      </c>
      <c r="Q77" s="709"/>
    </row>
    <row r="78" spans="1:18" s="505" customFormat="1" ht="12.75">
      <c r="A78" s="812">
        <v>73</v>
      </c>
      <c r="B78" s="451"/>
      <c r="C78" s="893"/>
      <c r="D78" s="892"/>
      <c r="E78" s="895" t="s">
        <v>77</v>
      </c>
      <c r="F78" s="384" t="s">
        <v>141</v>
      </c>
      <c r="G78" s="781">
        <v>4860</v>
      </c>
      <c r="H78" s="781">
        <v>5489</v>
      </c>
      <c r="I78" s="781">
        <v>5489</v>
      </c>
      <c r="J78" s="781">
        <v>4928</v>
      </c>
      <c r="K78" s="781">
        <v>4663</v>
      </c>
      <c r="L78" s="781">
        <v>4663</v>
      </c>
      <c r="M78" s="781">
        <v>4663</v>
      </c>
      <c r="N78" s="894"/>
      <c r="O78" s="491"/>
      <c r="P78" s="491"/>
      <c r="Q78" s="709"/>
      <c r="R78" s="755"/>
    </row>
    <row r="79" spans="1:17" s="505" customFormat="1" ht="12.75">
      <c r="A79" s="441">
        <v>74</v>
      </c>
      <c r="B79" s="451"/>
      <c r="C79" s="893"/>
      <c r="D79" s="892"/>
      <c r="E79" s="896" t="s">
        <v>8</v>
      </c>
      <c r="F79" s="1001" t="s">
        <v>534</v>
      </c>
      <c r="G79" s="781">
        <v>75.04</v>
      </c>
      <c r="H79" s="781">
        <v>78.15</v>
      </c>
      <c r="I79" s="781">
        <v>78.15</v>
      </c>
      <c r="J79" s="781">
        <v>82.47</v>
      </c>
      <c r="K79" s="781">
        <v>82.47</v>
      </c>
      <c r="L79" s="781">
        <v>82.47</v>
      </c>
      <c r="M79" s="781">
        <v>82.47</v>
      </c>
      <c r="N79" s="894"/>
      <c r="O79" s="491"/>
      <c r="P79" s="491"/>
      <c r="Q79" s="709"/>
    </row>
    <row r="80" spans="1:17" s="505" customFormat="1" ht="12.75">
      <c r="A80" s="812">
        <v>75</v>
      </c>
      <c r="B80" s="897"/>
      <c r="C80" s="897"/>
      <c r="D80" s="898"/>
      <c r="E80" s="899" t="s">
        <v>374</v>
      </c>
      <c r="F80" s="905" t="s">
        <v>548</v>
      </c>
      <c r="G80" s="900">
        <v>441.4</v>
      </c>
      <c r="H80" s="900">
        <v>1418.58</v>
      </c>
      <c r="I80" s="900">
        <v>500</v>
      </c>
      <c r="J80" s="900">
        <v>4950.93</v>
      </c>
      <c r="K80" s="900">
        <v>0</v>
      </c>
      <c r="L80" s="900">
        <v>0</v>
      </c>
      <c r="M80" s="900">
        <v>0</v>
      </c>
      <c r="Q80" s="709"/>
    </row>
    <row r="81" spans="1:17" s="505" customFormat="1" ht="12.75">
      <c r="A81" s="901">
        <v>76</v>
      </c>
      <c r="B81" s="876"/>
      <c r="C81" s="876"/>
      <c r="D81" s="346"/>
      <c r="E81" s="902"/>
      <c r="F81" s="963" t="s">
        <v>638</v>
      </c>
      <c r="G81" s="781">
        <v>0</v>
      </c>
      <c r="H81" s="781">
        <v>0</v>
      </c>
      <c r="I81" s="781">
        <v>0</v>
      </c>
      <c r="J81" s="781">
        <v>0</v>
      </c>
      <c r="K81" s="1197">
        <v>4500</v>
      </c>
      <c r="L81" s="781">
        <v>0</v>
      </c>
      <c r="M81" s="781">
        <v>0</v>
      </c>
      <c r="Q81" s="709"/>
    </row>
    <row r="82" spans="1:13" s="505" customFormat="1" ht="12.75">
      <c r="A82" s="903">
        <v>77</v>
      </c>
      <c r="B82" s="897"/>
      <c r="C82" s="897"/>
      <c r="D82" s="663"/>
      <c r="E82" s="904" t="s">
        <v>88</v>
      </c>
      <c r="F82" s="905" t="s">
        <v>439</v>
      </c>
      <c r="G82" s="900">
        <v>211</v>
      </c>
      <c r="H82" s="900">
        <v>8173.2</v>
      </c>
      <c r="I82" s="900">
        <v>7656</v>
      </c>
      <c r="J82" s="900">
        <v>5846.4</v>
      </c>
      <c r="K82" s="900">
        <v>8137</v>
      </c>
      <c r="L82" s="900">
        <v>0</v>
      </c>
      <c r="M82" s="900">
        <v>0</v>
      </c>
    </row>
    <row r="83" spans="1:13" s="505" customFormat="1" ht="12.75">
      <c r="A83" s="901">
        <v>78</v>
      </c>
      <c r="B83" s="876"/>
      <c r="C83" s="876"/>
      <c r="D83" s="346"/>
      <c r="E83" s="904" t="s">
        <v>88</v>
      </c>
      <c r="F83" s="905" t="s">
        <v>597</v>
      </c>
      <c r="G83" s="781">
        <v>0</v>
      </c>
      <c r="H83" s="781">
        <v>18824.4</v>
      </c>
      <c r="I83" s="781">
        <v>36039.5</v>
      </c>
      <c r="J83" s="781">
        <v>28123.2</v>
      </c>
      <c r="K83" s="781">
        <v>37000</v>
      </c>
      <c r="L83" s="781">
        <v>0</v>
      </c>
      <c r="M83" s="781">
        <v>0</v>
      </c>
    </row>
    <row r="84" spans="1:13" s="505" customFormat="1" ht="13.5" thickBot="1">
      <c r="A84" s="1086">
        <v>79</v>
      </c>
      <c r="B84" s="1087"/>
      <c r="C84" s="1087"/>
      <c r="D84" s="1088"/>
      <c r="E84" s="904" t="s">
        <v>478</v>
      </c>
      <c r="F84" s="905" t="s">
        <v>523</v>
      </c>
      <c r="G84" s="1089">
        <v>0</v>
      </c>
      <c r="H84" s="1089">
        <v>0</v>
      </c>
      <c r="I84" s="1089">
        <v>986.5</v>
      </c>
      <c r="J84" s="1089">
        <v>0</v>
      </c>
      <c r="K84" s="1089">
        <v>0</v>
      </c>
      <c r="L84" s="1089">
        <v>0</v>
      </c>
      <c r="M84" s="1089">
        <v>0</v>
      </c>
    </row>
    <row r="85" spans="1:18" s="505" customFormat="1" ht="13.5" thickBot="1">
      <c r="A85" s="748">
        <v>80</v>
      </c>
      <c r="B85" s="836" t="s">
        <v>58</v>
      </c>
      <c r="C85" s="836"/>
      <c r="D85" s="908"/>
      <c r="E85" s="909" t="s">
        <v>239</v>
      </c>
      <c r="F85" s="839"/>
      <c r="G85" s="666">
        <f>G86+G87+G88+G89+G90+G91+G92+G93+G94+G95+G96+G97</f>
        <v>7000</v>
      </c>
      <c r="H85" s="666">
        <f>SUM(H86:H97)</f>
        <v>8000</v>
      </c>
      <c r="I85" s="666">
        <f>I86+I87+I88+I89+I90+I91+I92+I93+I94+I95+I96+I97</f>
        <v>3000</v>
      </c>
      <c r="J85" s="666">
        <f>J86+J87+J88+J89+J90+J91+J92+J93+J94+J95+J96+J97</f>
        <v>3000</v>
      </c>
      <c r="K85" s="666">
        <f>K86+K87+K88+K89+K90+K91+K92+K93+K94+K95+K96+K97</f>
        <v>3000</v>
      </c>
      <c r="L85" s="666">
        <f>L86+L87+L88+L89+L90+L91+L92+L93+L94+L95+L96+L97</f>
        <v>3000</v>
      </c>
      <c r="M85" s="666">
        <f>M86+M87+M88+M89+M90+M91+M92+M93+M94+M95+M96+M97</f>
        <v>3000</v>
      </c>
      <c r="R85" s="755"/>
    </row>
    <row r="86" spans="1:18" s="505" customFormat="1" ht="12.75">
      <c r="A86" s="441">
        <v>81</v>
      </c>
      <c r="B86" s="910"/>
      <c r="C86" s="911"/>
      <c r="D86" s="401"/>
      <c r="E86" s="384" t="s">
        <v>375</v>
      </c>
      <c r="F86" s="384"/>
      <c r="G86" s="912">
        <v>0</v>
      </c>
      <c r="H86" s="912">
        <v>1000</v>
      </c>
      <c r="I86" s="912">
        <v>0</v>
      </c>
      <c r="J86" s="912">
        <v>0</v>
      </c>
      <c r="K86" s="912">
        <v>0</v>
      </c>
      <c r="L86" s="912">
        <v>0</v>
      </c>
      <c r="M86" s="912">
        <v>0</v>
      </c>
      <c r="R86" s="755"/>
    </row>
    <row r="87" spans="1:13" s="505" customFormat="1" ht="12.75">
      <c r="A87" s="441">
        <v>82</v>
      </c>
      <c r="B87" s="913"/>
      <c r="C87" s="914"/>
      <c r="D87" s="915"/>
      <c r="E87" s="384" t="s">
        <v>376</v>
      </c>
      <c r="F87" s="384"/>
      <c r="G87" s="912">
        <v>0</v>
      </c>
      <c r="H87" s="912">
        <v>0</v>
      </c>
      <c r="I87" s="912">
        <v>0</v>
      </c>
      <c r="J87" s="912">
        <v>0</v>
      </c>
      <c r="K87" s="912">
        <v>0</v>
      </c>
      <c r="L87" s="912">
        <v>0</v>
      </c>
      <c r="M87" s="912">
        <v>0</v>
      </c>
    </row>
    <row r="88" spans="1:13" s="505" customFormat="1" ht="12.75">
      <c r="A88" s="441">
        <v>83</v>
      </c>
      <c r="B88" s="876"/>
      <c r="C88" s="916"/>
      <c r="D88" s="346"/>
      <c r="E88" s="1002" t="s">
        <v>471</v>
      </c>
      <c r="F88" s="917"/>
      <c r="G88" s="781">
        <v>4000</v>
      </c>
      <c r="H88" s="781">
        <v>4000</v>
      </c>
      <c r="I88" s="781">
        <v>0</v>
      </c>
      <c r="J88" s="781">
        <v>0</v>
      </c>
      <c r="K88" s="781">
        <v>0</v>
      </c>
      <c r="L88" s="781">
        <v>0</v>
      </c>
      <c r="M88" s="781">
        <v>0</v>
      </c>
    </row>
    <row r="89" spans="1:13" s="505" customFormat="1" ht="12.75">
      <c r="A89" s="441">
        <v>84</v>
      </c>
      <c r="B89" s="876"/>
      <c r="C89" s="876"/>
      <c r="D89" s="346"/>
      <c r="E89" s="1002" t="s">
        <v>472</v>
      </c>
      <c r="F89" s="393"/>
      <c r="G89" s="781">
        <v>0</v>
      </c>
      <c r="H89" s="781">
        <v>0</v>
      </c>
      <c r="I89" s="781">
        <v>0</v>
      </c>
      <c r="J89" s="781">
        <v>0</v>
      </c>
      <c r="K89" s="781">
        <v>0</v>
      </c>
      <c r="L89" s="781">
        <v>0</v>
      </c>
      <c r="M89" s="781">
        <v>0</v>
      </c>
    </row>
    <row r="90" spans="1:13" s="505" customFormat="1" ht="12.75">
      <c r="A90" s="441">
        <v>85</v>
      </c>
      <c r="B90" s="876"/>
      <c r="C90" s="876"/>
      <c r="D90" s="346"/>
      <c r="E90" s="917" t="s">
        <v>355</v>
      </c>
      <c r="F90" s="393"/>
      <c r="G90" s="781">
        <v>0</v>
      </c>
      <c r="H90" s="781">
        <v>0</v>
      </c>
      <c r="I90" s="781">
        <v>0</v>
      </c>
      <c r="J90" s="781">
        <v>0</v>
      </c>
      <c r="K90" s="781">
        <v>0</v>
      </c>
      <c r="L90" s="781">
        <v>0</v>
      </c>
      <c r="M90" s="781">
        <v>0</v>
      </c>
    </row>
    <row r="91" spans="1:13" s="505" customFormat="1" ht="12.75">
      <c r="A91" s="460">
        <v>86</v>
      </c>
      <c r="B91" s="876"/>
      <c r="C91" s="876"/>
      <c r="D91" s="346"/>
      <c r="E91" s="1002" t="s">
        <v>377</v>
      </c>
      <c r="F91" s="393"/>
      <c r="G91" s="781">
        <v>0</v>
      </c>
      <c r="H91" s="781">
        <v>0</v>
      </c>
      <c r="I91" s="781">
        <v>0</v>
      </c>
      <c r="J91" s="781">
        <v>0</v>
      </c>
      <c r="K91" s="781">
        <v>0</v>
      </c>
      <c r="L91" s="781">
        <v>0</v>
      </c>
      <c r="M91" s="781">
        <v>0</v>
      </c>
    </row>
    <row r="92" spans="1:18" s="505" customFormat="1" ht="12.75">
      <c r="A92" s="726">
        <v>87</v>
      </c>
      <c r="B92" s="897"/>
      <c r="C92" s="897"/>
      <c r="D92" s="663"/>
      <c r="E92" s="918" t="s">
        <v>378</v>
      </c>
      <c r="F92" s="834"/>
      <c r="G92" s="900">
        <v>0</v>
      </c>
      <c r="H92" s="900">
        <v>0</v>
      </c>
      <c r="I92" s="900">
        <v>0</v>
      </c>
      <c r="J92" s="900">
        <v>0</v>
      </c>
      <c r="K92" s="900">
        <v>0</v>
      </c>
      <c r="L92" s="900">
        <v>0</v>
      </c>
      <c r="M92" s="900">
        <v>0</v>
      </c>
      <c r="R92" s="755"/>
    </row>
    <row r="93" spans="1:18" s="505" customFormat="1" ht="12.75">
      <c r="A93" s="726">
        <v>88</v>
      </c>
      <c r="B93" s="897"/>
      <c r="C93" s="897"/>
      <c r="D93" s="663"/>
      <c r="E93" s="918" t="s">
        <v>354</v>
      </c>
      <c r="F93" s="834"/>
      <c r="G93" s="900">
        <v>3000</v>
      </c>
      <c r="H93" s="900">
        <v>3000</v>
      </c>
      <c r="I93" s="900">
        <v>3000</v>
      </c>
      <c r="J93" s="900">
        <v>3000</v>
      </c>
      <c r="K93" s="900">
        <v>3000</v>
      </c>
      <c r="L93" s="900">
        <v>3000</v>
      </c>
      <c r="M93" s="900">
        <v>3000</v>
      </c>
      <c r="R93" s="755"/>
    </row>
    <row r="94" spans="1:18" s="505" customFormat="1" ht="12.75">
      <c r="A94" s="726">
        <v>89</v>
      </c>
      <c r="B94" s="897"/>
      <c r="C94" s="897"/>
      <c r="D94" s="663"/>
      <c r="E94" s="918" t="s">
        <v>379</v>
      </c>
      <c r="F94" s="834"/>
      <c r="G94" s="900">
        <v>0</v>
      </c>
      <c r="H94" s="900">
        <v>0</v>
      </c>
      <c r="I94" s="900">
        <v>0</v>
      </c>
      <c r="J94" s="900">
        <v>0</v>
      </c>
      <c r="K94" s="900">
        <v>0</v>
      </c>
      <c r="L94" s="900">
        <v>0</v>
      </c>
      <c r="M94" s="900">
        <v>0</v>
      </c>
      <c r="R94" s="755"/>
    </row>
    <row r="95" spans="1:18" s="505" customFormat="1" ht="12.75">
      <c r="A95" s="726">
        <v>90</v>
      </c>
      <c r="B95" s="897"/>
      <c r="C95" s="897"/>
      <c r="D95" s="663"/>
      <c r="E95" s="918" t="s">
        <v>380</v>
      </c>
      <c r="F95" s="834"/>
      <c r="G95" s="900">
        <v>0</v>
      </c>
      <c r="H95" s="900">
        <v>0</v>
      </c>
      <c r="I95" s="900">
        <v>0</v>
      </c>
      <c r="J95" s="900">
        <v>0</v>
      </c>
      <c r="K95" s="900">
        <v>0</v>
      </c>
      <c r="L95" s="900">
        <v>0</v>
      </c>
      <c r="M95" s="900">
        <v>0</v>
      </c>
      <c r="R95" s="755"/>
    </row>
    <row r="96" spans="1:18" s="505" customFormat="1" ht="13.5" thickBot="1">
      <c r="A96" s="906">
        <v>91</v>
      </c>
      <c r="B96" s="919"/>
      <c r="C96" s="919"/>
      <c r="D96" s="920"/>
      <c r="E96" s="522" t="s">
        <v>381</v>
      </c>
      <c r="F96" s="921"/>
      <c r="G96" s="907">
        <v>0</v>
      </c>
      <c r="H96" s="907">
        <v>0</v>
      </c>
      <c r="I96" s="907">
        <v>0</v>
      </c>
      <c r="J96" s="907">
        <v>0</v>
      </c>
      <c r="K96" s="907">
        <v>0</v>
      </c>
      <c r="L96" s="907">
        <v>0</v>
      </c>
      <c r="M96" s="907">
        <v>0</v>
      </c>
      <c r="R96" s="755"/>
    </row>
    <row r="97" spans="1:13" s="505" customFormat="1" ht="13.5" thickBot="1">
      <c r="A97" s="829">
        <v>92</v>
      </c>
      <c r="B97" s="830"/>
      <c r="C97" s="922"/>
      <c r="D97" s="923"/>
      <c r="E97" s="392" t="s">
        <v>339</v>
      </c>
      <c r="F97" s="862"/>
      <c r="G97" s="924">
        <v>0</v>
      </c>
      <c r="H97" s="924">
        <v>0</v>
      </c>
      <c r="I97" s="924">
        <v>0</v>
      </c>
      <c r="J97" s="924">
        <v>0</v>
      </c>
      <c r="K97" s="924">
        <v>0</v>
      </c>
      <c r="L97" s="924">
        <v>0</v>
      </c>
      <c r="M97" s="924">
        <v>0</v>
      </c>
    </row>
    <row r="98" spans="1:13" s="505" customFormat="1" ht="13.5" thickBot="1">
      <c r="A98" s="866">
        <v>93</v>
      </c>
      <c r="B98" s="750"/>
      <c r="C98" s="925" t="s">
        <v>482</v>
      </c>
      <c r="D98" s="926"/>
      <c r="E98" s="927"/>
      <c r="F98" s="928"/>
      <c r="G98" s="754">
        <f aca="true" t="shared" si="17" ref="G98:M98">G99</f>
        <v>86691.25</v>
      </c>
      <c r="H98" s="754">
        <f t="shared" si="17"/>
        <v>72437.40000000001</v>
      </c>
      <c r="I98" s="754">
        <f t="shared" si="17"/>
        <v>114599.25</v>
      </c>
      <c r="J98" s="754">
        <f t="shared" si="17"/>
        <v>128933.08</v>
      </c>
      <c r="K98" s="754">
        <f t="shared" si="17"/>
        <v>97621</v>
      </c>
      <c r="L98" s="754">
        <f t="shared" si="17"/>
        <v>105758</v>
      </c>
      <c r="M98" s="754">
        <f t="shared" si="17"/>
        <v>105758</v>
      </c>
    </row>
    <row r="99" spans="1:13" s="505" customFormat="1" ht="13.5" thickBot="1">
      <c r="A99" s="866">
        <v>94</v>
      </c>
      <c r="B99" s="836"/>
      <c r="C99" s="836"/>
      <c r="D99" s="908"/>
      <c r="E99" s="929" t="s">
        <v>481</v>
      </c>
      <c r="F99" s="930"/>
      <c r="G99" s="840">
        <f>SUM(G101:G110)</f>
        <v>86691.25</v>
      </c>
      <c r="H99" s="840">
        <f>SUM(H101:H110)</f>
        <v>72437.40000000001</v>
      </c>
      <c r="I99" s="840">
        <f>SUM(I101:I110)</f>
        <v>114599.25</v>
      </c>
      <c r="J99" s="840">
        <f>SUM(J100:J110)</f>
        <v>128933.08</v>
      </c>
      <c r="K99" s="840">
        <f>SUM(K100:K110)</f>
        <v>97621</v>
      </c>
      <c r="L99" s="840">
        <f>SUM(L100:L110)</f>
        <v>105758</v>
      </c>
      <c r="M99" s="840">
        <f>SUM(M100:M110)</f>
        <v>105758</v>
      </c>
    </row>
    <row r="100" spans="1:13" s="505" customFormat="1" ht="12.75">
      <c r="A100" s="1135">
        <v>95</v>
      </c>
      <c r="B100" s="910"/>
      <c r="C100" s="910"/>
      <c r="D100" s="401"/>
      <c r="E100" s="1136"/>
      <c r="F100" s="1137" t="s">
        <v>589</v>
      </c>
      <c r="G100" s="1138">
        <v>0</v>
      </c>
      <c r="H100" s="1138">
        <v>0</v>
      </c>
      <c r="I100" s="1138">
        <v>0</v>
      </c>
      <c r="J100" s="1138">
        <v>24583.07</v>
      </c>
      <c r="K100" s="1138">
        <v>0</v>
      </c>
      <c r="L100" s="1138">
        <v>0</v>
      </c>
      <c r="M100" s="1138">
        <v>0</v>
      </c>
    </row>
    <row r="101" spans="1:14" s="505" customFormat="1" ht="19.5">
      <c r="A101" s="441">
        <v>96</v>
      </c>
      <c r="B101" s="451"/>
      <c r="C101" s="451"/>
      <c r="D101" s="405"/>
      <c r="E101" s="1070"/>
      <c r="F101" s="1014" t="s">
        <v>549</v>
      </c>
      <c r="G101" s="912">
        <v>19242.09</v>
      </c>
      <c r="H101" s="912">
        <v>12159.11</v>
      </c>
      <c r="I101" s="912">
        <v>22094</v>
      </c>
      <c r="J101" s="912">
        <v>22094</v>
      </c>
      <c r="K101" s="912">
        <v>21613</v>
      </c>
      <c r="L101" s="912">
        <v>29750</v>
      </c>
      <c r="M101" s="912">
        <v>29750</v>
      </c>
      <c r="N101" s="755"/>
    </row>
    <row r="102" spans="1:13" s="505" customFormat="1" ht="12.75">
      <c r="A102" s="441">
        <v>97</v>
      </c>
      <c r="B102" s="830"/>
      <c r="C102" s="830"/>
      <c r="D102" s="405"/>
      <c r="E102" s="1070"/>
      <c r="F102" s="1012" t="s">
        <v>550</v>
      </c>
      <c r="G102" s="912">
        <v>0</v>
      </c>
      <c r="H102" s="912">
        <v>0</v>
      </c>
      <c r="I102" s="912">
        <v>14197</v>
      </c>
      <c r="J102" s="912">
        <v>14197</v>
      </c>
      <c r="K102" s="912">
        <v>14208</v>
      </c>
      <c r="L102" s="912">
        <v>14208</v>
      </c>
      <c r="M102" s="912">
        <v>14208</v>
      </c>
    </row>
    <row r="103" spans="1:13" s="505" customFormat="1" ht="12.75">
      <c r="A103" s="812">
        <v>98</v>
      </c>
      <c r="B103" s="931"/>
      <c r="C103" s="931"/>
      <c r="D103" s="932"/>
      <c r="E103" s="933"/>
      <c r="F103" s="963" t="s">
        <v>429</v>
      </c>
      <c r="G103" s="912">
        <v>32086.68</v>
      </c>
      <c r="H103" s="912">
        <v>2119.54</v>
      </c>
      <c r="I103" s="781">
        <v>0</v>
      </c>
      <c r="J103" s="781">
        <v>90.76</v>
      </c>
      <c r="K103" s="781">
        <v>0</v>
      </c>
      <c r="L103" s="781">
        <v>0</v>
      </c>
      <c r="M103" s="781">
        <v>0</v>
      </c>
    </row>
    <row r="104" spans="1:13" s="505" customFormat="1" ht="12.75">
      <c r="A104" s="812">
        <v>99</v>
      </c>
      <c r="B104" s="931"/>
      <c r="C104" s="931"/>
      <c r="D104" s="932"/>
      <c r="E104" s="933"/>
      <c r="F104" s="963" t="s">
        <v>480</v>
      </c>
      <c r="G104" s="912">
        <v>12771.24</v>
      </c>
      <c r="H104" s="912">
        <v>10760</v>
      </c>
      <c r="I104" s="781">
        <v>19140</v>
      </c>
      <c r="J104" s="781">
        <v>19140</v>
      </c>
      <c r="K104" s="781">
        <v>19800</v>
      </c>
      <c r="L104" s="781">
        <v>19800</v>
      </c>
      <c r="M104" s="781">
        <v>19800</v>
      </c>
    </row>
    <row r="105" spans="1:13" s="505" customFormat="1" ht="12.75">
      <c r="A105" s="812">
        <v>100</v>
      </c>
      <c r="B105" s="931"/>
      <c r="C105" s="931"/>
      <c r="D105" s="932"/>
      <c r="E105" s="933"/>
      <c r="F105" s="963" t="s">
        <v>484</v>
      </c>
      <c r="G105" s="912">
        <v>406.66</v>
      </c>
      <c r="H105" s="912">
        <v>49.09</v>
      </c>
      <c r="I105" s="781">
        <v>300</v>
      </c>
      <c r="J105" s="781">
        <v>300</v>
      </c>
      <c r="K105" s="781">
        <v>300</v>
      </c>
      <c r="L105" s="781">
        <v>300</v>
      </c>
      <c r="M105" s="781">
        <v>300</v>
      </c>
    </row>
    <row r="106" spans="1:13" s="505" customFormat="1" ht="12.75">
      <c r="A106" s="812">
        <v>101</v>
      </c>
      <c r="B106" s="931"/>
      <c r="C106" s="931"/>
      <c r="D106" s="932"/>
      <c r="E106" s="933"/>
      <c r="F106" s="963" t="s">
        <v>502</v>
      </c>
      <c r="G106" s="912">
        <v>4264.39</v>
      </c>
      <c r="H106" s="912">
        <v>2791.78</v>
      </c>
      <c r="I106" s="781">
        <v>1800</v>
      </c>
      <c r="J106" s="781">
        <v>1800</v>
      </c>
      <c r="K106" s="781">
        <v>1800</v>
      </c>
      <c r="L106" s="781">
        <v>1800</v>
      </c>
      <c r="M106" s="781">
        <v>1800</v>
      </c>
    </row>
    <row r="107" spans="1:13" s="505" customFormat="1" ht="19.5">
      <c r="A107" s="812">
        <v>102</v>
      </c>
      <c r="B107" s="931"/>
      <c r="C107" s="931"/>
      <c r="D107" s="932"/>
      <c r="E107" s="933"/>
      <c r="F107" s="1012" t="s">
        <v>483</v>
      </c>
      <c r="G107" s="912">
        <v>11943.59</v>
      </c>
      <c r="H107" s="912">
        <v>9363.33</v>
      </c>
      <c r="I107" s="781">
        <v>33048</v>
      </c>
      <c r="J107" s="781">
        <v>21048</v>
      </c>
      <c r="K107" s="781">
        <v>20700</v>
      </c>
      <c r="L107" s="781">
        <v>20700</v>
      </c>
      <c r="M107" s="781">
        <v>20700</v>
      </c>
    </row>
    <row r="108" spans="1:13" s="505" customFormat="1" ht="12.75">
      <c r="A108" s="812">
        <v>103</v>
      </c>
      <c r="B108" s="931"/>
      <c r="C108" s="931"/>
      <c r="D108" s="932"/>
      <c r="E108" s="933"/>
      <c r="F108" s="963" t="s">
        <v>551</v>
      </c>
      <c r="G108" s="912">
        <v>0</v>
      </c>
      <c r="H108" s="912">
        <v>22479.57</v>
      </c>
      <c r="I108" s="781">
        <v>16020.25</v>
      </c>
      <c r="J108" s="781">
        <v>16020.25</v>
      </c>
      <c r="K108" s="781">
        <v>10200</v>
      </c>
      <c r="L108" s="781">
        <v>10200</v>
      </c>
      <c r="M108" s="781">
        <v>10200</v>
      </c>
    </row>
    <row r="109" spans="1:13" s="505" customFormat="1" ht="12.75">
      <c r="A109" s="812">
        <v>104</v>
      </c>
      <c r="B109" s="931"/>
      <c r="C109" s="931"/>
      <c r="D109" s="932"/>
      <c r="E109" s="933"/>
      <c r="F109" s="963" t="s">
        <v>552</v>
      </c>
      <c r="G109" s="912">
        <v>1146.4</v>
      </c>
      <c r="H109" s="912">
        <v>7276.18</v>
      </c>
      <c r="I109" s="781">
        <v>0</v>
      </c>
      <c r="J109" s="781">
        <v>3660</v>
      </c>
      <c r="K109" s="781">
        <v>0</v>
      </c>
      <c r="L109" s="781">
        <v>0</v>
      </c>
      <c r="M109" s="781">
        <v>0</v>
      </c>
    </row>
    <row r="110" spans="1:13" s="505" customFormat="1" ht="13.5" thickBot="1">
      <c r="A110" s="812">
        <v>105</v>
      </c>
      <c r="B110" s="931"/>
      <c r="C110" s="931"/>
      <c r="D110" s="932"/>
      <c r="E110" s="933"/>
      <c r="F110" s="963" t="s">
        <v>485</v>
      </c>
      <c r="G110" s="912">
        <v>4830.2</v>
      </c>
      <c r="H110" s="912">
        <v>5438.8</v>
      </c>
      <c r="I110" s="781">
        <v>8000</v>
      </c>
      <c r="J110" s="781">
        <v>6000</v>
      </c>
      <c r="K110" s="781">
        <v>9000</v>
      </c>
      <c r="L110" s="781">
        <v>9000</v>
      </c>
      <c r="M110" s="781">
        <v>9000</v>
      </c>
    </row>
    <row r="111" spans="1:13" s="505" customFormat="1" ht="13.5" thickBot="1">
      <c r="A111" s="934">
        <v>106</v>
      </c>
      <c r="B111" s="935"/>
      <c r="C111" s="936"/>
      <c r="D111" s="937"/>
      <c r="E111" s="938" t="s">
        <v>61</v>
      </c>
      <c r="F111" s="939"/>
      <c r="G111" s="940">
        <f aca="true" t="shared" si="18" ref="G111:M111">G6+G20+G65+G98</f>
        <v>1377490.7400000002</v>
      </c>
      <c r="H111" s="940">
        <f t="shared" si="18"/>
        <v>1543155.8199999998</v>
      </c>
      <c r="I111" s="940">
        <f t="shared" si="18"/>
        <v>1631104.52</v>
      </c>
      <c r="J111" s="940">
        <f t="shared" si="18"/>
        <v>1693277.1600000001</v>
      </c>
      <c r="K111" s="940">
        <f t="shared" si="18"/>
        <v>1694546.94</v>
      </c>
      <c r="L111" s="940">
        <f t="shared" si="18"/>
        <v>1683046.94</v>
      </c>
      <c r="M111" s="940">
        <f t="shared" si="18"/>
        <v>1733046.94</v>
      </c>
    </row>
    <row r="112" ht="12.75">
      <c r="R112" s="551"/>
    </row>
    <row r="113" ht="12.75">
      <c r="F113" s="169"/>
    </row>
    <row r="114" spans="2:13" ht="12.75">
      <c r="B114" s="8"/>
      <c r="C114" s="8"/>
      <c r="D114" s="8"/>
      <c r="E114" s="8"/>
      <c r="F114" s="8"/>
      <c r="G114" s="9"/>
      <c r="H114" s="9"/>
      <c r="I114" s="9"/>
      <c r="J114" s="9"/>
      <c r="K114" s="9"/>
      <c r="L114" s="9"/>
      <c r="M114" s="9"/>
    </row>
    <row r="115" spans="2:13" ht="12.75">
      <c r="B115" s="156"/>
      <c r="C115" s="8"/>
      <c r="D115" s="8"/>
      <c r="E115" s="8"/>
      <c r="F115" s="8"/>
      <c r="G115" s="9"/>
      <c r="H115" s="9"/>
      <c r="I115" s="9"/>
      <c r="J115" s="9"/>
      <c r="K115" s="9"/>
      <c r="L115" s="9"/>
      <c r="M115" s="9"/>
    </row>
    <row r="116" spans="2:13" ht="12.75">
      <c r="B116" s="169"/>
      <c r="C116" s="8"/>
      <c r="D116" s="8"/>
      <c r="E116" s="8"/>
      <c r="F116" s="8"/>
      <c r="G116" s="9"/>
      <c r="H116" s="9"/>
      <c r="I116" s="9"/>
      <c r="J116" s="9"/>
      <c r="K116" s="9"/>
      <c r="L116" s="9"/>
      <c r="M116" s="9"/>
    </row>
    <row r="117" spans="2:13" ht="12.75">
      <c r="B117" s="169"/>
      <c r="C117" s="63"/>
      <c r="D117" s="63"/>
      <c r="E117" s="63"/>
      <c r="F117" s="63"/>
      <c r="G117" s="63"/>
      <c r="H117" s="63"/>
      <c r="I117" s="63"/>
      <c r="J117" s="63"/>
      <c r="K117" s="1099"/>
      <c r="L117" s="1099"/>
      <c r="M117" s="1099"/>
    </row>
    <row r="118" spans="2:13" ht="12.75">
      <c r="B118" s="169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</row>
    <row r="119" spans="2:13" ht="12.75">
      <c r="B119" s="78"/>
      <c r="C119" s="106"/>
      <c r="D119" s="106"/>
      <c r="E119" s="106"/>
      <c r="F119" s="107"/>
      <c r="G119" s="106"/>
      <c r="H119" s="106"/>
      <c r="I119" s="106"/>
      <c r="J119" s="106"/>
      <c r="K119" s="106"/>
      <c r="L119" s="106"/>
      <c r="M119" s="106"/>
    </row>
    <row r="120" spans="2:13" ht="12.75">
      <c r="B120" s="4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2:13" ht="12.75">
      <c r="B121" s="80"/>
      <c r="C121" s="80"/>
      <c r="D121" s="80"/>
      <c r="E121" s="80"/>
      <c r="F121" s="80"/>
      <c r="G121" s="64"/>
      <c r="H121" s="64"/>
      <c r="I121" s="64"/>
      <c r="J121" s="64"/>
      <c r="K121" s="64"/>
      <c r="L121" s="64"/>
      <c r="M121" s="64"/>
    </row>
    <row r="122" spans="2:13" ht="12.75">
      <c r="B122" s="4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2:13" ht="12.75">
      <c r="B123" s="79"/>
      <c r="C123" s="80"/>
      <c r="D123" s="80"/>
      <c r="E123" s="80"/>
      <c r="F123" s="80"/>
      <c r="G123" s="64"/>
      <c r="H123" s="64"/>
      <c r="I123" s="64"/>
      <c r="J123" s="64"/>
      <c r="K123" s="64"/>
      <c r="L123" s="64"/>
      <c r="M123" s="64"/>
    </row>
    <row r="124" spans="2:13" ht="12.75">
      <c r="B124" s="80"/>
      <c r="C124" s="80"/>
      <c r="D124" s="80"/>
      <c r="E124" s="80"/>
      <c r="F124" s="80"/>
      <c r="G124" s="64"/>
      <c r="H124" s="64"/>
      <c r="I124" s="64"/>
      <c r="J124" s="64"/>
      <c r="K124" s="64"/>
      <c r="L124" s="64"/>
      <c r="M124" s="64"/>
    </row>
    <row r="125" spans="2:13" ht="12.75">
      <c r="B125" s="80"/>
      <c r="C125" s="80"/>
      <c r="D125" s="80"/>
      <c r="E125" s="80"/>
      <c r="F125" s="80"/>
      <c r="G125" s="64"/>
      <c r="H125" s="64"/>
      <c r="I125" s="64"/>
      <c r="J125" s="64"/>
      <c r="K125" s="64"/>
      <c r="L125" s="64"/>
      <c r="M125" s="64"/>
    </row>
    <row r="126" spans="2:13" ht="12.75">
      <c r="B126" s="80"/>
      <c r="C126" s="80"/>
      <c r="D126" s="80"/>
      <c r="E126" s="80"/>
      <c r="F126" s="80"/>
      <c r="G126" s="64"/>
      <c r="H126" s="64"/>
      <c r="I126" s="64"/>
      <c r="J126" s="64"/>
      <c r="K126" s="64"/>
      <c r="L126" s="64"/>
      <c r="M126" s="64"/>
    </row>
    <row r="127" spans="2:13" ht="12.75">
      <c r="B127" s="80"/>
      <c r="C127" s="80"/>
      <c r="D127" s="80"/>
      <c r="E127" s="80"/>
      <c r="F127" s="80"/>
      <c r="G127" s="64"/>
      <c r="H127" s="64"/>
      <c r="I127" s="64"/>
      <c r="J127" s="64"/>
      <c r="K127" s="64"/>
      <c r="L127" s="64"/>
      <c r="M127" s="64"/>
    </row>
    <row r="128" spans="2:13" ht="12.75">
      <c r="B128" s="80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2:13" ht="12.75">
      <c r="B129" s="81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3" spans="2:13" ht="12.75">
      <c r="B133" s="79"/>
      <c r="C133" s="80"/>
      <c r="D133" s="80"/>
      <c r="E133" s="80"/>
      <c r="F133" s="80"/>
      <c r="G133" s="64"/>
      <c r="H133" s="64"/>
      <c r="I133" s="64"/>
      <c r="J133" s="64"/>
      <c r="K133" s="64"/>
      <c r="L133" s="64"/>
      <c r="M133" s="64"/>
    </row>
    <row r="134" spans="2:13" ht="12.75">
      <c r="B134" s="80"/>
      <c r="C134" s="80"/>
      <c r="D134" s="80"/>
      <c r="E134" s="80"/>
      <c r="F134" s="80"/>
      <c r="G134" s="64"/>
      <c r="H134" s="64"/>
      <c r="I134" s="64"/>
      <c r="J134" s="64"/>
      <c r="K134" s="64"/>
      <c r="L134" s="64"/>
      <c r="M134" s="64"/>
    </row>
    <row r="135" spans="2:13" ht="12.75">
      <c r="B135" s="80"/>
      <c r="C135" s="80"/>
      <c r="D135" s="80"/>
      <c r="E135" s="80"/>
      <c r="F135" s="80"/>
      <c r="G135" s="64"/>
      <c r="H135" s="64"/>
      <c r="I135" s="64"/>
      <c r="J135" s="64"/>
      <c r="K135" s="64"/>
      <c r="L135" s="64"/>
      <c r="M135" s="64"/>
    </row>
    <row r="136" spans="2:13" ht="12.75">
      <c r="B136" s="80"/>
      <c r="C136" s="80"/>
      <c r="D136" s="80"/>
      <c r="E136" s="80"/>
      <c r="F136" s="80"/>
      <c r="G136" s="64"/>
      <c r="H136" s="64"/>
      <c r="I136" s="64"/>
      <c r="J136" s="64"/>
      <c r="K136" s="64"/>
      <c r="L136" s="64"/>
      <c r="M136" s="64"/>
    </row>
    <row r="137" spans="2:13" ht="12.75">
      <c r="B137" s="80"/>
      <c r="C137" s="80"/>
      <c r="D137" s="80"/>
      <c r="E137" s="80"/>
      <c r="F137" s="80"/>
      <c r="G137" s="64"/>
      <c r="H137" s="64"/>
      <c r="I137" s="64"/>
      <c r="J137" s="64"/>
      <c r="K137" s="64"/>
      <c r="L137" s="64"/>
      <c r="M137" s="64"/>
    </row>
    <row r="138" spans="2:13" ht="12.75">
      <c r="B138" s="80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2:13" ht="12.75">
      <c r="B139" s="81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</sheetData>
  <sheetProtection/>
  <mergeCells count="1">
    <mergeCell ref="A2:F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L64" sqref="L64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5.8515625" style="0" customWidth="1"/>
    <col min="4" max="4" width="30.71093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11" width="8.421875" style="0" bestFit="1" customWidth="1"/>
    <col min="12" max="12" width="9.140625" style="0" customWidth="1"/>
    <col min="13" max="13" width="1.8515625" style="0" customWidth="1"/>
  </cols>
  <sheetData>
    <row r="1" spans="1:2" ht="15" thickBot="1">
      <c r="A1" s="23"/>
      <c r="B1" s="204" t="s">
        <v>320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4"/>
      <c r="B3" s="1251"/>
      <c r="C3" s="1252"/>
      <c r="D3" s="1252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51" t="s">
        <v>310</v>
      </c>
      <c r="C4" s="52" t="s">
        <v>312</v>
      </c>
      <c r="D4" s="356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148"/>
      <c r="B5" s="53" t="s">
        <v>316</v>
      </c>
      <c r="C5" s="54" t="s">
        <v>74</v>
      </c>
      <c r="D5" s="350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ht="14.25" thickBot="1" thickTop="1">
      <c r="A6" s="212">
        <v>1</v>
      </c>
      <c r="B6" s="1184" t="s">
        <v>417</v>
      </c>
      <c r="C6" s="283"/>
      <c r="D6" s="215"/>
      <c r="E6" s="216">
        <f>E7+E35</f>
        <v>50478.68</v>
      </c>
      <c r="F6" s="216">
        <f aca="true" t="shared" si="0" ref="F6:K6">F7+F35</f>
        <v>47825.89</v>
      </c>
      <c r="G6" s="216">
        <f t="shared" si="0"/>
        <v>38417.71</v>
      </c>
      <c r="H6" s="216">
        <f t="shared" si="0"/>
        <v>30946.02</v>
      </c>
      <c r="I6" s="216">
        <f t="shared" si="0"/>
        <v>50679</v>
      </c>
      <c r="J6" s="216">
        <f t="shared" si="0"/>
        <v>33614</v>
      </c>
      <c r="K6" s="216">
        <f t="shared" si="0"/>
        <v>33614</v>
      </c>
    </row>
    <row r="7" spans="1:11" ht="13.5" thickTop="1">
      <c r="A7" s="212">
        <v>2</v>
      </c>
      <c r="B7" s="218">
        <v>1</v>
      </c>
      <c r="C7" s="219" t="s">
        <v>102</v>
      </c>
      <c r="D7" s="220"/>
      <c r="E7" s="244">
        <f>E8</f>
        <v>38459.4</v>
      </c>
      <c r="F7" s="244">
        <f aca="true" t="shared" si="1" ref="F7:K7">F8</f>
        <v>37701.82</v>
      </c>
      <c r="G7" s="244">
        <f t="shared" si="1"/>
        <v>33417.71</v>
      </c>
      <c r="H7" s="244">
        <f t="shared" si="1"/>
        <v>27946.02</v>
      </c>
      <c r="I7" s="244">
        <f t="shared" si="1"/>
        <v>45679</v>
      </c>
      <c r="J7" s="244">
        <f t="shared" si="1"/>
        <v>28614</v>
      </c>
      <c r="K7" s="244">
        <f t="shared" si="1"/>
        <v>28614</v>
      </c>
    </row>
    <row r="8" spans="1:11" ht="12.75">
      <c r="A8" s="212">
        <v>3</v>
      </c>
      <c r="B8" s="394" t="s">
        <v>262</v>
      </c>
      <c r="C8" s="223" t="s">
        <v>199</v>
      </c>
      <c r="D8" s="224"/>
      <c r="E8" s="248">
        <f>E9+E10+E11+E12+E13+E14+E15+E16</f>
        <v>38459.4</v>
      </c>
      <c r="F8" s="248">
        <f aca="true" t="shared" si="2" ref="F8:K8">F9+F10+F11+F12+F13+F14+F15+F16</f>
        <v>37701.82</v>
      </c>
      <c r="G8" s="248">
        <f t="shared" si="2"/>
        <v>33417.71</v>
      </c>
      <c r="H8" s="248">
        <f t="shared" si="2"/>
        <v>27946.02</v>
      </c>
      <c r="I8" s="248">
        <f t="shared" si="2"/>
        <v>45679</v>
      </c>
      <c r="J8" s="248">
        <f t="shared" si="2"/>
        <v>28614</v>
      </c>
      <c r="K8" s="248">
        <f t="shared" si="2"/>
        <v>28614</v>
      </c>
    </row>
    <row r="9" spans="1:11" ht="12.75">
      <c r="A9" s="212">
        <v>4</v>
      </c>
      <c r="B9" s="349"/>
      <c r="C9" s="403" t="s">
        <v>289</v>
      </c>
      <c r="D9" s="228" t="s">
        <v>434</v>
      </c>
      <c r="E9" s="229">
        <v>4461.96</v>
      </c>
      <c r="F9" s="229">
        <v>1892.53</v>
      </c>
      <c r="G9" s="409">
        <v>6050</v>
      </c>
      <c r="H9" s="409">
        <v>5050</v>
      </c>
      <c r="I9" s="409">
        <f>H9*1.1</f>
        <v>5555</v>
      </c>
      <c r="J9" s="409">
        <v>6050</v>
      </c>
      <c r="K9" s="409">
        <v>6050</v>
      </c>
    </row>
    <row r="10" spans="1:11" ht="12.75">
      <c r="A10" s="410">
        <v>5</v>
      </c>
      <c r="B10" s="349"/>
      <c r="C10" s="397" t="s">
        <v>289</v>
      </c>
      <c r="D10" s="240" t="s">
        <v>322</v>
      </c>
      <c r="E10" s="229">
        <v>0</v>
      </c>
      <c r="F10" s="229">
        <v>0</v>
      </c>
      <c r="G10" s="409">
        <v>0</v>
      </c>
      <c r="H10" s="409">
        <v>0</v>
      </c>
      <c r="I10" s="409">
        <v>0</v>
      </c>
      <c r="J10" s="409">
        <v>0</v>
      </c>
      <c r="K10" s="409">
        <v>0</v>
      </c>
    </row>
    <row r="11" spans="1:11" ht="12.75">
      <c r="A11" s="212">
        <v>6</v>
      </c>
      <c r="B11" s="349"/>
      <c r="C11" s="397" t="s">
        <v>289</v>
      </c>
      <c r="D11" s="240" t="s">
        <v>127</v>
      </c>
      <c r="E11" s="229">
        <v>444.97</v>
      </c>
      <c r="F11" s="229">
        <v>430.79</v>
      </c>
      <c r="G11" s="409">
        <v>600</v>
      </c>
      <c r="H11" s="409">
        <v>450</v>
      </c>
      <c r="I11" s="409">
        <v>600</v>
      </c>
      <c r="J11" s="409">
        <v>600</v>
      </c>
      <c r="K11" s="409">
        <v>600</v>
      </c>
    </row>
    <row r="12" spans="1:13" ht="12.75">
      <c r="A12" s="212">
        <v>7</v>
      </c>
      <c r="B12" s="349"/>
      <c r="C12" s="397" t="s">
        <v>289</v>
      </c>
      <c r="D12" s="240" t="s">
        <v>476</v>
      </c>
      <c r="E12" s="229">
        <v>7026.85</v>
      </c>
      <c r="F12" s="229">
        <v>6900</v>
      </c>
      <c r="G12" s="409">
        <v>8556</v>
      </c>
      <c r="H12" s="409">
        <v>6358</v>
      </c>
      <c r="I12" s="409">
        <v>7000</v>
      </c>
      <c r="J12" s="409">
        <v>7000</v>
      </c>
      <c r="K12" s="409">
        <v>7000</v>
      </c>
      <c r="L12" s="47"/>
      <c r="M12" s="563"/>
    </row>
    <row r="13" spans="1:13" ht="12.75">
      <c r="A13" s="410">
        <v>8</v>
      </c>
      <c r="B13" s="349"/>
      <c r="C13" s="397" t="s">
        <v>319</v>
      </c>
      <c r="D13" s="240" t="s">
        <v>477</v>
      </c>
      <c r="E13" s="229">
        <v>2328.08</v>
      </c>
      <c r="F13" s="229">
        <v>2285</v>
      </c>
      <c r="G13" s="409">
        <v>3011.71</v>
      </c>
      <c r="H13" s="409">
        <v>2238.02</v>
      </c>
      <c r="I13" s="409">
        <f>I12*0.352</f>
        <v>2464</v>
      </c>
      <c r="J13" s="409">
        <f>J12*0.352</f>
        <v>2464</v>
      </c>
      <c r="K13" s="409">
        <f>K12*0.352</f>
        <v>2464</v>
      </c>
      <c r="M13" s="563"/>
    </row>
    <row r="14" spans="1:12" ht="12.75">
      <c r="A14" s="217">
        <v>9</v>
      </c>
      <c r="B14" s="345"/>
      <c r="C14" s="403" t="s">
        <v>289</v>
      </c>
      <c r="D14" s="210" t="s">
        <v>390</v>
      </c>
      <c r="E14" s="229">
        <v>0</v>
      </c>
      <c r="F14" s="22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548"/>
    </row>
    <row r="15" spans="1:12" ht="23.25" thickBot="1">
      <c r="A15" s="564">
        <v>10</v>
      </c>
      <c r="B15" s="565"/>
      <c r="C15" s="566" t="s">
        <v>289</v>
      </c>
      <c r="D15" s="567" t="s">
        <v>575</v>
      </c>
      <c r="E15" s="261">
        <v>49.57</v>
      </c>
      <c r="F15" s="261">
        <v>103.54</v>
      </c>
      <c r="G15" s="568">
        <v>100</v>
      </c>
      <c r="H15" s="568">
        <v>2000</v>
      </c>
      <c r="I15" s="568">
        <v>2000</v>
      </c>
      <c r="J15" s="568">
        <v>2000</v>
      </c>
      <c r="K15" s="568">
        <v>2000</v>
      </c>
      <c r="L15" s="548"/>
    </row>
    <row r="16" spans="1:14" ht="13.5" thickBot="1">
      <c r="A16" s="558">
        <v>11</v>
      </c>
      <c r="B16" s="559"/>
      <c r="C16" s="560"/>
      <c r="D16" s="561" t="s">
        <v>385</v>
      </c>
      <c r="E16" s="562">
        <f>E17+E18+E28+E29+E30+E31+E32+E33+E34</f>
        <v>24147.97</v>
      </c>
      <c r="F16" s="562">
        <f aca="true" t="shared" si="3" ref="F16:K16">F17+F18+F28+F29+F30+F31+F32+F33+F34</f>
        <v>26089.96</v>
      </c>
      <c r="G16" s="562">
        <f t="shared" si="3"/>
        <v>15100</v>
      </c>
      <c r="H16" s="562">
        <f t="shared" si="3"/>
        <v>11850</v>
      </c>
      <c r="I16" s="1235">
        <f t="shared" si="3"/>
        <v>28060</v>
      </c>
      <c r="J16" s="562">
        <f t="shared" si="3"/>
        <v>10500</v>
      </c>
      <c r="K16" s="562">
        <f t="shared" si="3"/>
        <v>10500</v>
      </c>
      <c r="N16" s="1093"/>
    </row>
    <row r="17" spans="1:11" s="636" customFormat="1" ht="23.25" thickBot="1">
      <c r="A17" s="634">
        <v>12</v>
      </c>
      <c r="B17" s="635"/>
      <c r="C17" s="691" t="s">
        <v>290</v>
      </c>
      <c r="D17" s="567" t="s">
        <v>389</v>
      </c>
      <c r="E17" s="692">
        <v>0</v>
      </c>
      <c r="F17" s="692">
        <v>0</v>
      </c>
      <c r="G17" s="692">
        <v>0</v>
      </c>
      <c r="H17" s="693">
        <v>0</v>
      </c>
      <c r="I17" s="693">
        <v>0</v>
      </c>
      <c r="J17" s="693">
        <v>0</v>
      </c>
      <c r="K17" s="693">
        <v>0</v>
      </c>
    </row>
    <row r="18" spans="1:14" s="636" customFormat="1" ht="13.5" thickBot="1">
      <c r="A18" s="637">
        <v>13</v>
      </c>
      <c r="B18" s="690"/>
      <c r="C18" s="703" t="s">
        <v>290</v>
      </c>
      <c r="D18" s="704" t="s">
        <v>435</v>
      </c>
      <c r="E18" s="702">
        <f>E19+E20+E21+E22+E23+E24+E25+E26+E27</f>
        <v>20907.97</v>
      </c>
      <c r="F18" s="702">
        <f aca="true" t="shared" si="4" ref="F18:K18">F19+F20+F21+F22+F23+F24+F25+F26+F27</f>
        <v>19999.96</v>
      </c>
      <c r="G18" s="702">
        <f t="shared" si="4"/>
        <v>12500</v>
      </c>
      <c r="H18" s="702">
        <f t="shared" si="4"/>
        <v>10500</v>
      </c>
      <c r="I18" s="1234">
        <f>I19+I20+I21+I22+I23+I24+I25+I26+I27</f>
        <v>20000</v>
      </c>
      <c r="J18" s="702">
        <f t="shared" si="4"/>
        <v>10500</v>
      </c>
      <c r="K18" s="702">
        <f t="shared" si="4"/>
        <v>10500</v>
      </c>
      <c r="N18" s="1216"/>
    </row>
    <row r="19" spans="1:14" s="636" customFormat="1" ht="12.75">
      <c r="A19" s="637">
        <v>14</v>
      </c>
      <c r="B19" s="690"/>
      <c r="C19" s="694"/>
      <c r="D19" s="211" t="s">
        <v>395</v>
      </c>
      <c r="E19" s="640">
        <v>916.37</v>
      </c>
      <c r="F19" s="640">
        <v>999.96</v>
      </c>
      <c r="G19" s="641">
        <v>250</v>
      </c>
      <c r="H19" s="641">
        <v>250</v>
      </c>
      <c r="I19" s="1232">
        <v>500</v>
      </c>
      <c r="J19" s="642">
        <v>250</v>
      </c>
      <c r="K19" s="695">
        <v>250</v>
      </c>
      <c r="M19" s="1092"/>
      <c r="N19" s="1217"/>
    </row>
    <row r="20" spans="1:14" s="636" customFormat="1" ht="12.75">
      <c r="A20" s="637">
        <v>15</v>
      </c>
      <c r="B20" s="690"/>
      <c r="C20" s="694"/>
      <c r="D20" s="211" t="s">
        <v>493</v>
      </c>
      <c r="E20" s="640">
        <v>3888</v>
      </c>
      <c r="F20" s="640">
        <v>1500</v>
      </c>
      <c r="G20" s="641">
        <v>750</v>
      </c>
      <c r="H20" s="641">
        <v>750</v>
      </c>
      <c r="I20" s="1232">
        <v>1500</v>
      </c>
      <c r="J20" s="642">
        <v>750</v>
      </c>
      <c r="K20" s="695">
        <v>750</v>
      </c>
      <c r="M20" s="643"/>
      <c r="N20" s="1217"/>
    </row>
    <row r="21" spans="1:14" s="636" customFormat="1" ht="12.75">
      <c r="A21" s="637">
        <v>16</v>
      </c>
      <c r="B21" s="690"/>
      <c r="C21" s="694"/>
      <c r="D21" s="211" t="s">
        <v>396</v>
      </c>
      <c r="E21" s="640">
        <v>875</v>
      </c>
      <c r="F21" s="640">
        <v>0</v>
      </c>
      <c r="G21" s="641">
        <v>375</v>
      </c>
      <c r="H21" s="641">
        <v>375</v>
      </c>
      <c r="I21" s="1232">
        <v>750</v>
      </c>
      <c r="J21" s="642">
        <v>375</v>
      </c>
      <c r="K21" s="695">
        <v>375</v>
      </c>
      <c r="N21" s="1217"/>
    </row>
    <row r="22" spans="1:14" s="636" customFormat="1" ht="12.75">
      <c r="A22" s="637">
        <v>17</v>
      </c>
      <c r="B22" s="690"/>
      <c r="C22" s="694"/>
      <c r="D22" s="211" t="s">
        <v>397</v>
      </c>
      <c r="E22" s="640">
        <v>826.72</v>
      </c>
      <c r="F22" s="640">
        <v>1500</v>
      </c>
      <c r="G22" s="641">
        <v>375</v>
      </c>
      <c r="H22" s="641">
        <v>375</v>
      </c>
      <c r="I22" s="1232">
        <v>750</v>
      </c>
      <c r="J22" s="642">
        <v>375</v>
      </c>
      <c r="K22" s="695">
        <v>375</v>
      </c>
      <c r="N22" s="1217"/>
    </row>
    <row r="23" spans="1:14" s="636" customFormat="1" ht="12.75">
      <c r="A23" s="637">
        <v>18</v>
      </c>
      <c r="B23" s="690"/>
      <c r="C23" s="694"/>
      <c r="D23" s="211" t="s">
        <v>398</v>
      </c>
      <c r="E23" s="640">
        <v>518.51</v>
      </c>
      <c r="F23" s="640">
        <v>0</v>
      </c>
      <c r="G23" s="641">
        <v>0</v>
      </c>
      <c r="H23" s="641">
        <v>0</v>
      </c>
      <c r="I23" s="1232">
        <v>0</v>
      </c>
      <c r="J23" s="642">
        <v>0</v>
      </c>
      <c r="K23" s="695">
        <v>0</v>
      </c>
      <c r="N23" s="1217"/>
    </row>
    <row r="24" spans="1:14" s="636" customFormat="1" ht="22.5">
      <c r="A24" s="644">
        <v>19</v>
      </c>
      <c r="B24" s="690"/>
      <c r="C24" s="694"/>
      <c r="D24" s="211" t="s">
        <v>386</v>
      </c>
      <c r="E24" s="640">
        <v>6265.8</v>
      </c>
      <c r="F24" s="640">
        <v>7000</v>
      </c>
      <c r="G24" s="642">
        <v>4000</v>
      </c>
      <c r="H24" s="642">
        <v>4000</v>
      </c>
      <c r="I24" s="1232">
        <v>5000</v>
      </c>
      <c r="J24" s="642">
        <v>4000</v>
      </c>
      <c r="K24" s="695">
        <v>4000</v>
      </c>
      <c r="N24" s="1217"/>
    </row>
    <row r="25" spans="1:14" s="636" customFormat="1" ht="22.5">
      <c r="A25" s="644">
        <v>20</v>
      </c>
      <c r="B25" s="690"/>
      <c r="C25" s="694"/>
      <c r="D25" s="211" t="s">
        <v>387</v>
      </c>
      <c r="E25" s="645">
        <v>366.36</v>
      </c>
      <c r="F25" s="645">
        <v>1000</v>
      </c>
      <c r="G25" s="646">
        <v>750</v>
      </c>
      <c r="H25" s="646">
        <v>750</v>
      </c>
      <c r="I25" s="1233">
        <v>1500</v>
      </c>
      <c r="J25" s="646">
        <v>750</v>
      </c>
      <c r="K25" s="696">
        <v>750</v>
      </c>
      <c r="N25" s="1217"/>
    </row>
    <row r="26" spans="1:14" s="636" customFormat="1" ht="22.5">
      <c r="A26" s="644">
        <v>21</v>
      </c>
      <c r="B26" s="690"/>
      <c r="C26" s="694"/>
      <c r="D26" s="211" t="s">
        <v>388</v>
      </c>
      <c r="E26" s="645">
        <v>6301.21</v>
      </c>
      <c r="F26" s="645">
        <v>8000</v>
      </c>
      <c r="G26" s="646">
        <v>6000</v>
      </c>
      <c r="H26" s="646">
        <v>4000</v>
      </c>
      <c r="I26" s="1233">
        <v>10000</v>
      </c>
      <c r="J26" s="646">
        <v>4000</v>
      </c>
      <c r="K26" s="696">
        <v>4000</v>
      </c>
      <c r="N26" s="1217"/>
    </row>
    <row r="27" spans="1:11" s="636" customFormat="1" ht="13.5" thickBot="1">
      <c r="A27" s="644">
        <v>22</v>
      </c>
      <c r="B27" s="690"/>
      <c r="C27" s="697"/>
      <c r="D27" s="698" t="s">
        <v>415</v>
      </c>
      <c r="E27" s="699">
        <v>950</v>
      </c>
      <c r="F27" s="699">
        <v>0</v>
      </c>
      <c r="G27" s="700">
        <v>0</v>
      </c>
      <c r="H27" s="700">
        <v>0</v>
      </c>
      <c r="I27" s="700">
        <v>0</v>
      </c>
      <c r="J27" s="700">
        <v>0</v>
      </c>
      <c r="K27" s="701">
        <v>0</v>
      </c>
    </row>
    <row r="28" spans="1:11" s="636" customFormat="1" ht="22.5">
      <c r="A28" s="644">
        <v>23</v>
      </c>
      <c r="B28" s="638"/>
      <c r="C28" s="639" t="s">
        <v>290</v>
      </c>
      <c r="D28" s="211" t="s">
        <v>394</v>
      </c>
      <c r="E28" s="640">
        <v>700</v>
      </c>
      <c r="F28" s="640">
        <v>1200</v>
      </c>
      <c r="G28" s="642">
        <v>0</v>
      </c>
      <c r="H28" s="642">
        <v>0</v>
      </c>
      <c r="I28" s="642">
        <v>0</v>
      </c>
      <c r="J28" s="642">
        <v>0</v>
      </c>
      <c r="K28" s="642">
        <v>0</v>
      </c>
    </row>
    <row r="29" spans="1:11" s="636" customFormat="1" ht="12.75">
      <c r="A29" s="644">
        <v>24</v>
      </c>
      <c r="B29" s="638"/>
      <c r="C29" s="639" t="s">
        <v>290</v>
      </c>
      <c r="D29" s="211" t="s">
        <v>654</v>
      </c>
      <c r="E29" s="645">
        <v>0</v>
      </c>
      <c r="F29" s="645">
        <v>2300</v>
      </c>
      <c r="G29" s="646">
        <v>1250</v>
      </c>
      <c r="H29" s="646">
        <v>1250</v>
      </c>
      <c r="I29" s="1233">
        <v>5000</v>
      </c>
      <c r="J29" s="646">
        <v>0</v>
      </c>
      <c r="K29" s="646">
        <v>0</v>
      </c>
    </row>
    <row r="30" spans="1:11" s="636" customFormat="1" ht="22.5">
      <c r="A30" s="644">
        <v>25</v>
      </c>
      <c r="B30" s="638"/>
      <c r="C30" s="639" t="s">
        <v>290</v>
      </c>
      <c r="D30" s="211" t="s">
        <v>393</v>
      </c>
      <c r="E30" s="645">
        <v>600</v>
      </c>
      <c r="F30" s="645">
        <v>0</v>
      </c>
      <c r="G30" s="646">
        <v>0</v>
      </c>
      <c r="H30" s="646">
        <v>0</v>
      </c>
      <c r="I30" s="646">
        <v>0</v>
      </c>
      <c r="J30" s="646">
        <v>0</v>
      </c>
      <c r="K30" s="646">
        <v>0</v>
      </c>
    </row>
    <row r="31" spans="1:11" s="636" customFormat="1" ht="12.75">
      <c r="A31" s="644">
        <v>26</v>
      </c>
      <c r="B31" s="638"/>
      <c r="C31" s="639" t="s">
        <v>290</v>
      </c>
      <c r="D31" s="211" t="s">
        <v>430</v>
      </c>
      <c r="E31" s="645">
        <v>0</v>
      </c>
      <c r="F31" s="645">
        <v>150</v>
      </c>
      <c r="G31" s="646">
        <v>0</v>
      </c>
      <c r="H31" s="646">
        <v>0</v>
      </c>
      <c r="I31" s="646">
        <v>0</v>
      </c>
      <c r="J31" s="646">
        <v>0</v>
      </c>
      <c r="K31" s="646">
        <v>0</v>
      </c>
    </row>
    <row r="32" spans="1:11" s="636" customFormat="1" ht="33.75">
      <c r="A32" s="644">
        <v>27</v>
      </c>
      <c r="B32" s="638"/>
      <c r="C32" s="639" t="s">
        <v>290</v>
      </c>
      <c r="D32" s="211" t="s">
        <v>492</v>
      </c>
      <c r="E32" s="645">
        <v>1000</v>
      </c>
      <c r="F32" s="645">
        <v>1200</v>
      </c>
      <c r="G32" s="646">
        <v>1250</v>
      </c>
      <c r="H32" s="646">
        <v>0</v>
      </c>
      <c r="I32" s="1233">
        <v>2500</v>
      </c>
      <c r="J32" s="646">
        <v>0</v>
      </c>
      <c r="K32" s="646">
        <v>0</v>
      </c>
    </row>
    <row r="33" spans="1:11" s="636" customFormat="1" ht="33.75">
      <c r="A33" s="644">
        <v>28</v>
      </c>
      <c r="B33" s="638"/>
      <c r="C33" s="639" t="s">
        <v>290</v>
      </c>
      <c r="D33" s="211" t="s">
        <v>399</v>
      </c>
      <c r="E33" s="645">
        <v>700</v>
      </c>
      <c r="F33" s="645">
        <v>1000</v>
      </c>
      <c r="G33" s="646">
        <v>0</v>
      </c>
      <c r="H33" s="646">
        <v>0</v>
      </c>
      <c r="I33" s="646">
        <v>0</v>
      </c>
      <c r="J33" s="646">
        <v>0</v>
      </c>
      <c r="K33" s="646">
        <v>0</v>
      </c>
    </row>
    <row r="34" spans="1:11" s="636" customFormat="1" ht="12.75">
      <c r="A34" s="644">
        <v>29</v>
      </c>
      <c r="B34" s="638"/>
      <c r="C34" s="639" t="s">
        <v>290</v>
      </c>
      <c r="D34" s="211" t="s">
        <v>494</v>
      </c>
      <c r="E34" s="645">
        <v>240</v>
      </c>
      <c r="F34" s="645">
        <v>240</v>
      </c>
      <c r="G34" s="646">
        <v>100</v>
      </c>
      <c r="H34" s="646">
        <v>100</v>
      </c>
      <c r="I34" s="1233">
        <v>560</v>
      </c>
      <c r="J34" s="646">
        <v>0</v>
      </c>
      <c r="K34" s="646">
        <v>0</v>
      </c>
    </row>
    <row r="35" spans="1:11" s="636" customFormat="1" ht="12.75">
      <c r="A35" s="644">
        <v>30</v>
      </c>
      <c r="B35" s="218">
        <v>2</v>
      </c>
      <c r="C35" s="219" t="s">
        <v>128</v>
      </c>
      <c r="D35" s="220"/>
      <c r="E35" s="244">
        <f aca="true" t="shared" si="5" ref="E35:K35">E36+E60+E66</f>
        <v>12019.279999999999</v>
      </c>
      <c r="F35" s="244">
        <f t="shared" si="5"/>
        <v>10124.07</v>
      </c>
      <c r="G35" s="408">
        <f t="shared" si="5"/>
        <v>5000</v>
      </c>
      <c r="H35" s="408">
        <f t="shared" si="5"/>
        <v>3000</v>
      </c>
      <c r="I35" s="408">
        <f t="shared" si="5"/>
        <v>5000</v>
      </c>
      <c r="J35" s="408">
        <f t="shared" si="5"/>
        <v>5000</v>
      </c>
      <c r="K35" s="408">
        <f t="shared" si="5"/>
        <v>5000</v>
      </c>
    </row>
    <row r="36" spans="1:11" ht="12.75">
      <c r="A36" s="410">
        <v>31</v>
      </c>
      <c r="B36" s="394" t="s">
        <v>263</v>
      </c>
      <c r="C36" s="411" t="s">
        <v>128</v>
      </c>
      <c r="D36" s="412"/>
      <c r="E36" s="248">
        <f>E37+E38+E39+E40</f>
        <v>9519.279999999999</v>
      </c>
      <c r="F36" s="248">
        <f>SUM(F37:F41)</f>
        <v>10124.07</v>
      </c>
      <c r="G36" s="248">
        <f>G37+G38+G39+G40</f>
        <v>5000</v>
      </c>
      <c r="H36" s="248">
        <f>H37+H38+H39+H40+H41</f>
        <v>3000</v>
      </c>
      <c r="I36" s="248">
        <f>I37+I38+I39+I40+I41</f>
        <v>5000</v>
      </c>
      <c r="J36" s="248">
        <f>J37+J38+J39+J40+J41</f>
        <v>5000</v>
      </c>
      <c r="K36" s="248">
        <f>K37+K38+K39+K40+K41</f>
        <v>5000</v>
      </c>
    </row>
    <row r="37" spans="1:11" ht="12.75">
      <c r="A37" s="212">
        <v>32</v>
      </c>
      <c r="B37" s="404"/>
      <c r="C37" s="405" t="s">
        <v>289</v>
      </c>
      <c r="D37" s="259" t="s">
        <v>269</v>
      </c>
      <c r="E37" s="413">
        <v>5519.28</v>
      </c>
      <c r="F37" s="413">
        <v>4124.07</v>
      </c>
      <c r="G37" s="414">
        <v>5000</v>
      </c>
      <c r="H37" s="414">
        <v>1764.54</v>
      </c>
      <c r="I37" s="414">
        <v>5000</v>
      </c>
      <c r="J37" s="414">
        <v>5000</v>
      </c>
      <c r="K37" s="414">
        <v>5000</v>
      </c>
    </row>
    <row r="38" spans="1:11" ht="12.75">
      <c r="A38" s="212">
        <v>33</v>
      </c>
      <c r="B38" s="404"/>
      <c r="C38" s="405" t="s">
        <v>289</v>
      </c>
      <c r="D38" s="259" t="s">
        <v>391</v>
      </c>
      <c r="E38" s="413">
        <v>0</v>
      </c>
      <c r="F38" s="413">
        <v>0</v>
      </c>
      <c r="G38" s="414">
        <v>0</v>
      </c>
      <c r="H38" s="414">
        <v>0</v>
      </c>
      <c r="I38" s="414">
        <v>0</v>
      </c>
      <c r="J38" s="414">
        <v>0</v>
      </c>
      <c r="K38" s="414">
        <v>0</v>
      </c>
    </row>
    <row r="39" spans="1:11" ht="12.75">
      <c r="A39" s="212">
        <v>34</v>
      </c>
      <c r="B39" s="404"/>
      <c r="C39" s="405" t="s">
        <v>289</v>
      </c>
      <c r="D39" s="208" t="s">
        <v>445</v>
      </c>
      <c r="E39" s="413">
        <v>4000</v>
      </c>
      <c r="F39" s="413">
        <v>4000</v>
      </c>
      <c r="G39" s="414">
        <v>0</v>
      </c>
      <c r="H39" s="414">
        <v>0</v>
      </c>
      <c r="I39" s="414">
        <v>0</v>
      </c>
      <c r="J39" s="414">
        <v>0</v>
      </c>
      <c r="K39" s="414">
        <v>0</v>
      </c>
    </row>
    <row r="40" spans="1:11" ht="12.75">
      <c r="A40" s="212">
        <v>35</v>
      </c>
      <c r="B40" s="404"/>
      <c r="C40" s="405" t="s">
        <v>289</v>
      </c>
      <c r="D40" s="208" t="s">
        <v>444</v>
      </c>
      <c r="E40" s="413">
        <v>0</v>
      </c>
      <c r="F40" s="413">
        <v>1000</v>
      </c>
      <c r="G40" s="414">
        <v>0</v>
      </c>
      <c r="H40" s="414">
        <v>1235.46</v>
      </c>
      <c r="I40" s="414">
        <v>0</v>
      </c>
      <c r="J40" s="414">
        <v>0</v>
      </c>
      <c r="K40" s="414">
        <v>0</v>
      </c>
    </row>
    <row r="41" spans="1:11" ht="12.75">
      <c r="A41" s="217">
        <v>36</v>
      </c>
      <c r="B41" s="1182"/>
      <c r="C41" s="1183" t="s">
        <v>289</v>
      </c>
      <c r="D41" s="250" t="s">
        <v>443</v>
      </c>
      <c r="E41" s="413">
        <v>0</v>
      </c>
      <c r="F41" s="413">
        <v>1000</v>
      </c>
      <c r="G41" s="414">
        <v>0</v>
      </c>
      <c r="H41" s="414">
        <v>0</v>
      </c>
      <c r="I41" s="414">
        <v>0</v>
      </c>
      <c r="J41" s="414">
        <v>0</v>
      </c>
      <c r="K41" s="414">
        <v>0</v>
      </c>
    </row>
    <row r="42" spans="1:4" ht="12.75">
      <c r="A42" s="23"/>
      <c r="B42" s="50"/>
      <c r="D42" s="37"/>
    </row>
    <row r="43" s="64" customFormat="1" ht="9.75">
      <c r="B43" s="48"/>
    </row>
    <row r="44" spans="1:11" s="64" customFormat="1" ht="15" thickBot="1">
      <c r="A44" s="23"/>
      <c r="B44" s="204" t="s">
        <v>416</v>
      </c>
      <c r="C44"/>
      <c r="D44"/>
      <c r="E44"/>
      <c r="F44"/>
      <c r="G44"/>
      <c r="H44"/>
      <c r="I44"/>
      <c r="J44"/>
      <c r="K44"/>
    </row>
    <row r="45" spans="1:11" s="64" customFormat="1" ht="15">
      <c r="A45" s="1248" t="s">
        <v>10</v>
      </c>
      <c r="B45" s="1249"/>
      <c r="C45" s="1249"/>
      <c r="D45" s="1249"/>
      <c r="E45" s="200" t="s">
        <v>283</v>
      </c>
      <c r="F45" s="508" t="s">
        <v>368</v>
      </c>
      <c r="G45" s="121" t="s">
        <v>369</v>
      </c>
      <c r="H45" s="121" t="s">
        <v>286</v>
      </c>
      <c r="I45" s="535" t="s">
        <v>13</v>
      </c>
      <c r="J45" s="513" t="s">
        <v>13</v>
      </c>
      <c r="K45" s="512" t="s">
        <v>13</v>
      </c>
    </row>
    <row r="46" spans="1:11" s="64" customFormat="1" ht="11.25">
      <c r="A46" s="128"/>
      <c r="B46" s="1258"/>
      <c r="C46" s="1259"/>
      <c r="D46" s="1259"/>
      <c r="E46" s="193"/>
      <c r="F46" s="193"/>
      <c r="G46" s="510" t="s">
        <v>285</v>
      </c>
      <c r="H46" s="510" t="s">
        <v>287</v>
      </c>
      <c r="I46" s="536"/>
      <c r="J46" s="1079" t="s">
        <v>505</v>
      </c>
      <c r="K46" s="1079" t="s">
        <v>505</v>
      </c>
    </row>
    <row r="47" spans="1:11" s="64" customFormat="1" ht="15.75">
      <c r="A47" s="128"/>
      <c r="B47" s="29" t="s">
        <v>310</v>
      </c>
      <c r="C47" s="52" t="s">
        <v>312</v>
      </c>
      <c r="D47" s="356"/>
      <c r="E47" s="195">
        <v>2018</v>
      </c>
      <c r="F47" s="509" t="s">
        <v>367</v>
      </c>
      <c r="G47" s="511">
        <v>2020</v>
      </c>
      <c r="H47" s="196" t="s">
        <v>373</v>
      </c>
      <c r="I47" s="537">
        <v>2021</v>
      </c>
      <c r="J47" s="515" t="s">
        <v>432</v>
      </c>
      <c r="K47" s="514">
        <v>2023</v>
      </c>
    </row>
    <row r="48" spans="1:11" s="64" customFormat="1" ht="12" thickBot="1">
      <c r="A48" s="131"/>
      <c r="B48" s="33" t="s">
        <v>305</v>
      </c>
      <c r="C48" s="54" t="s">
        <v>305</v>
      </c>
      <c r="D48" s="350" t="s">
        <v>5</v>
      </c>
      <c r="E48" s="198" t="s">
        <v>276</v>
      </c>
      <c r="F48" s="198" t="s">
        <v>276</v>
      </c>
      <c r="G48" s="199" t="s">
        <v>276</v>
      </c>
      <c r="H48" s="199" t="s">
        <v>276</v>
      </c>
      <c r="I48" s="538" t="s">
        <v>276</v>
      </c>
      <c r="J48" s="517" t="s">
        <v>276</v>
      </c>
      <c r="K48" s="516" t="s">
        <v>276</v>
      </c>
    </row>
    <row r="49" spans="1:11" s="64" customFormat="1" ht="12.75" customHeight="1" thickBot="1" thickTop="1">
      <c r="A49" s="133">
        <v>1</v>
      </c>
      <c r="B49" s="134" t="s">
        <v>417</v>
      </c>
      <c r="C49" s="135"/>
      <c r="D49" s="136"/>
      <c r="E49" s="179">
        <f aca="true" t="shared" si="6" ref="E49:K49">E50</f>
        <v>0</v>
      </c>
      <c r="F49" s="179">
        <f t="shared" si="6"/>
        <v>90056</v>
      </c>
      <c r="G49" s="158">
        <f t="shared" si="6"/>
        <v>0</v>
      </c>
      <c r="H49" s="158">
        <f t="shared" si="6"/>
        <v>1000</v>
      </c>
      <c r="I49" s="158">
        <f t="shared" si="6"/>
        <v>5000</v>
      </c>
      <c r="J49" s="158">
        <f t="shared" si="6"/>
        <v>0</v>
      </c>
      <c r="K49" s="158">
        <f t="shared" si="6"/>
        <v>0</v>
      </c>
    </row>
    <row r="50" spans="1:11" s="64" customFormat="1" ht="12.75" customHeight="1" thickTop="1">
      <c r="A50" s="93">
        <v>2</v>
      </c>
      <c r="B50" s="141">
        <v>1</v>
      </c>
      <c r="C50" s="142" t="s">
        <v>102</v>
      </c>
      <c r="D50" s="143"/>
      <c r="E50" s="518">
        <f aca="true" t="shared" si="7" ref="E50:K51">E51</f>
        <v>0</v>
      </c>
      <c r="F50" s="162">
        <f t="shared" si="7"/>
        <v>90056</v>
      </c>
      <c r="G50" s="162">
        <f t="shared" si="7"/>
        <v>0</v>
      </c>
      <c r="H50" s="162">
        <f t="shared" si="7"/>
        <v>1000</v>
      </c>
      <c r="I50" s="162">
        <f t="shared" si="7"/>
        <v>5000</v>
      </c>
      <c r="J50" s="162">
        <f t="shared" si="7"/>
        <v>0</v>
      </c>
      <c r="K50" s="162">
        <f t="shared" si="7"/>
        <v>0</v>
      </c>
    </row>
    <row r="51" spans="1:11" s="64" customFormat="1" ht="12.75" customHeight="1">
      <c r="A51" s="93">
        <v>3</v>
      </c>
      <c r="B51" s="59" t="s">
        <v>262</v>
      </c>
      <c r="C51" s="154" t="s">
        <v>199</v>
      </c>
      <c r="D51" s="155"/>
      <c r="E51" s="144">
        <f>E52</f>
        <v>0</v>
      </c>
      <c r="F51" s="160">
        <f>F52</f>
        <v>90056</v>
      </c>
      <c r="G51" s="160">
        <f t="shared" si="7"/>
        <v>0</v>
      </c>
      <c r="H51" s="160">
        <f>SUM(H52:H52)</f>
        <v>1000</v>
      </c>
      <c r="I51" s="160">
        <f>SUM(I52:I52)</f>
        <v>5000</v>
      </c>
      <c r="J51" s="160">
        <f>SUM(J52:J52)</f>
        <v>0</v>
      </c>
      <c r="K51" s="160">
        <f>SUM(K52:K52)</f>
        <v>0</v>
      </c>
    </row>
    <row r="52" spans="1:12" s="970" customFormat="1" ht="38.25">
      <c r="A52" s="986" t="s">
        <v>7</v>
      </c>
      <c r="B52" s="349"/>
      <c r="C52" s="744" t="s">
        <v>295</v>
      </c>
      <c r="D52" s="581" t="s">
        <v>579</v>
      </c>
      <c r="E52" s="367">
        <v>0</v>
      </c>
      <c r="F52" s="985">
        <v>90056</v>
      </c>
      <c r="G52" s="985">
        <v>0</v>
      </c>
      <c r="H52" s="985">
        <v>1000</v>
      </c>
      <c r="I52" s="1132">
        <v>5000</v>
      </c>
      <c r="J52" s="985">
        <v>0</v>
      </c>
      <c r="K52" s="985">
        <v>0</v>
      </c>
      <c r="L52" s="633" t="s">
        <v>598</v>
      </c>
    </row>
    <row r="53" spans="1:11" s="64" customFormat="1" ht="9.75">
      <c r="A53" s="48"/>
      <c r="B53" s="169"/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2" s="64" customFormat="1" ht="9.75">
      <c r="A54" s="48"/>
      <c r="B54" s="169"/>
    </row>
    <row r="55" spans="1:2" s="64" customFormat="1" ht="9.75">
      <c r="A55" s="48"/>
      <c r="B55" s="169"/>
    </row>
    <row r="56" spans="1:6" s="970" customFormat="1" ht="10.5">
      <c r="A56" s="1220"/>
      <c r="B56" s="1221"/>
      <c r="D56" s="1231" t="s">
        <v>647</v>
      </c>
      <c r="E56" s="1228" t="s">
        <v>649</v>
      </c>
      <c r="F56" s="1228" t="s">
        <v>650</v>
      </c>
    </row>
    <row r="57" spans="1:6" s="970" customFormat="1" ht="11.25">
      <c r="A57" s="1220"/>
      <c r="B57" s="1098"/>
      <c r="D57" s="1227" t="s">
        <v>648</v>
      </c>
      <c r="E57" s="1229">
        <v>20000</v>
      </c>
      <c r="F57" s="1229">
        <v>35000</v>
      </c>
    </row>
    <row r="58" spans="4:6" s="970" customFormat="1" ht="10.5">
      <c r="D58" s="1227" t="s">
        <v>651</v>
      </c>
      <c r="E58" s="1229">
        <v>5000</v>
      </c>
      <c r="F58" s="1229"/>
    </row>
    <row r="59" spans="4:6" s="505" customFormat="1" ht="12.75">
      <c r="D59" s="1227" t="s">
        <v>652</v>
      </c>
      <c r="E59" s="1229">
        <v>560</v>
      </c>
      <c r="F59" s="1229"/>
    </row>
    <row r="60" spans="4:6" s="505" customFormat="1" ht="12.75">
      <c r="D60" s="1230" t="s">
        <v>653</v>
      </c>
      <c r="E60" s="1229">
        <v>2500</v>
      </c>
      <c r="F60" s="1229"/>
    </row>
    <row r="61" spans="4:6" s="505" customFormat="1" ht="13.5">
      <c r="D61" s="1224"/>
      <c r="E61" s="1223"/>
      <c r="F61" s="1223"/>
    </row>
    <row r="62" spans="4:6" s="505" customFormat="1" ht="13.5">
      <c r="D62" s="1224"/>
      <c r="E62" s="1223"/>
      <c r="F62" s="1223"/>
    </row>
    <row r="63" spans="4:6" s="505" customFormat="1" ht="13.5">
      <c r="D63" s="1224"/>
      <c r="E63" s="1223"/>
      <c r="F63" s="1223"/>
    </row>
    <row r="64" spans="4:6" s="505" customFormat="1" ht="13.5">
      <c r="D64" s="1224"/>
      <c r="E64" s="1223"/>
      <c r="F64" s="1223"/>
    </row>
    <row r="65" spans="4:6" s="505" customFormat="1" ht="12.75">
      <c r="D65" s="1225"/>
      <c r="E65" s="1222"/>
      <c r="F65" s="1222"/>
    </row>
    <row r="66" spans="4:6" s="505" customFormat="1" ht="12.75">
      <c r="D66" s="1226"/>
      <c r="E66" s="1222"/>
      <c r="F66" s="1222"/>
    </row>
    <row r="67" spans="4:6" ht="12.75">
      <c r="D67" s="1219"/>
      <c r="E67" s="1169"/>
      <c r="F67" s="1169"/>
    </row>
    <row r="68" spans="4:6" ht="12.75">
      <c r="D68" s="1218"/>
      <c r="E68" s="1218"/>
      <c r="F68" s="1218"/>
    </row>
  </sheetData>
  <sheetProtection/>
  <mergeCells count="4">
    <mergeCell ref="A2:D2"/>
    <mergeCell ref="B3:D3"/>
    <mergeCell ref="A45:D45"/>
    <mergeCell ref="B46:D46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28125" style="0" customWidth="1"/>
    <col min="4" max="4" width="29.4218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8.140625" style="0" bestFit="1" customWidth="1"/>
    <col min="10" max="10" width="8.28125" style="0" bestFit="1" customWidth="1"/>
    <col min="11" max="11" width="8.140625" style="0" bestFit="1" customWidth="1"/>
  </cols>
  <sheetData>
    <row r="1" spans="1:2" ht="15" thickBot="1">
      <c r="A1" s="23"/>
      <c r="B1" s="204" t="s">
        <v>323</v>
      </c>
    </row>
    <row r="2" spans="1:11" ht="15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8"/>
      <c r="B3" s="1258"/>
      <c r="C3" s="1259"/>
      <c r="D3" s="1259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29" t="s">
        <v>310</v>
      </c>
      <c r="C4" s="52" t="s">
        <v>312</v>
      </c>
      <c r="D4" s="356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131"/>
      <c r="B5" s="33" t="s">
        <v>305</v>
      </c>
      <c r="C5" s="54" t="s">
        <v>305</v>
      </c>
      <c r="D5" s="350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s="505" customFormat="1" ht="14.25" thickBot="1" thickTop="1">
      <c r="A6" s="341">
        <v>1</v>
      </c>
      <c r="B6" s="134" t="s">
        <v>129</v>
      </c>
      <c r="C6" s="135"/>
      <c r="D6" s="380"/>
      <c r="E6" s="613">
        <f aca="true" t="shared" si="0" ref="E6:K6">E7+E12+E18+E25+E40</f>
        <v>112519.20000000001</v>
      </c>
      <c r="F6" s="969">
        <f t="shared" si="0"/>
        <v>106660.48000000003</v>
      </c>
      <c r="G6" s="969">
        <f t="shared" si="0"/>
        <v>137966.82</v>
      </c>
      <c r="H6" s="969">
        <f t="shared" si="0"/>
        <v>137528.53</v>
      </c>
      <c r="I6" s="969">
        <f t="shared" si="0"/>
        <v>143042.384</v>
      </c>
      <c r="J6" s="969">
        <f t="shared" si="0"/>
        <v>146544.41552</v>
      </c>
      <c r="K6" s="969">
        <f t="shared" si="0"/>
        <v>149651.5079856</v>
      </c>
    </row>
    <row r="7" spans="1:11" s="505" customFormat="1" ht="13.5" thickTop="1">
      <c r="A7" s="342">
        <v>2</v>
      </c>
      <c r="B7" s="343">
        <v>1</v>
      </c>
      <c r="C7" s="381" t="s">
        <v>78</v>
      </c>
      <c r="D7" s="382"/>
      <c r="E7" s="365">
        <f aca="true" t="shared" si="1" ref="E7:K7">E8</f>
        <v>16433.34</v>
      </c>
      <c r="F7" s="983">
        <f t="shared" si="1"/>
        <v>6331.76</v>
      </c>
      <c r="G7" s="983">
        <f t="shared" si="1"/>
        <v>11800</v>
      </c>
      <c r="H7" s="983">
        <f t="shared" si="1"/>
        <v>8542</v>
      </c>
      <c r="I7" s="983">
        <f t="shared" si="1"/>
        <v>10075</v>
      </c>
      <c r="J7" s="983">
        <f t="shared" si="1"/>
        <v>10075</v>
      </c>
      <c r="K7" s="983">
        <f t="shared" si="1"/>
        <v>10075</v>
      </c>
    </row>
    <row r="8" spans="1:11" s="505" customFormat="1" ht="12.75">
      <c r="A8" s="342">
        <v>3</v>
      </c>
      <c r="B8" s="383" t="s">
        <v>174</v>
      </c>
      <c r="C8" s="984" t="s">
        <v>272</v>
      </c>
      <c r="D8" s="391"/>
      <c r="E8" s="572">
        <f>E9+E10+E11</f>
        <v>16433.34</v>
      </c>
      <c r="F8" s="572">
        <f aca="true" t="shared" si="2" ref="F8:K8">F9+F10+F11</f>
        <v>6331.76</v>
      </c>
      <c r="G8" s="572">
        <f t="shared" si="2"/>
        <v>11800</v>
      </c>
      <c r="H8" s="572">
        <f t="shared" si="2"/>
        <v>8542</v>
      </c>
      <c r="I8" s="572">
        <f t="shared" si="2"/>
        <v>10075</v>
      </c>
      <c r="J8" s="572">
        <f t="shared" si="2"/>
        <v>10075</v>
      </c>
      <c r="K8" s="572">
        <f t="shared" si="2"/>
        <v>10075</v>
      </c>
    </row>
    <row r="9" spans="1:11" s="505" customFormat="1" ht="12.75">
      <c r="A9" s="342">
        <v>4</v>
      </c>
      <c r="B9" s="345"/>
      <c r="C9" s="403" t="s">
        <v>289</v>
      </c>
      <c r="D9" s="881" t="s">
        <v>54</v>
      </c>
      <c r="E9" s="367">
        <v>7725.75</v>
      </c>
      <c r="F9" s="985">
        <v>5807.24</v>
      </c>
      <c r="G9" s="985">
        <v>11500</v>
      </c>
      <c r="H9" s="985">
        <v>8500</v>
      </c>
      <c r="I9" s="985">
        <f>H9*1.15</f>
        <v>9775</v>
      </c>
      <c r="J9" s="985">
        <f>I9</f>
        <v>9775</v>
      </c>
      <c r="K9" s="985">
        <f>J9</f>
        <v>9775</v>
      </c>
    </row>
    <row r="10" spans="1:11" s="505" customFormat="1" ht="12.75">
      <c r="A10" s="342">
        <v>5</v>
      </c>
      <c r="B10" s="345"/>
      <c r="C10" s="397" t="s">
        <v>289</v>
      </c>
      <c r="D10" s="776" t="s">
        <v>130</v>
      </c>
      <c r="E10" s="367">
        <v>8707.59</v>
      </c>
      <c r="F10" s="985">
        <v>524.52</v>
      </c>
      <c r="G10" s="985">
        <v>300</v>
      </c>
      <c r="H10" s="985">
        <v>42</v>
      </c>
      <c r="I10" s="985">
        <v>300</v>
      </c>
      <c r="J10" s="985">
        <v>300</v>
      </c>
      <c r="K10" s="985">
        <v>300</v>
      </c>
    </row>
    <row r="11" spans="1:11" s="505" customFormat="1" ht="12.75">
      <c r="A11" s="342">
        <v>6</v>
      </c>
      <c r="B11" s="345"/>
      <c r="C11" s="397" t="s">
        <v>289</v>
      </c>
      <c r="D11" s="776" t="s">
        <v>324</v>
      </c>
      <c r="E11" s="367">
        <v>0</v>
      </c>
      <c r="F11" s="985">
        <v>0</v>
      </c>
      <c r="G11" s="985">
        <v>0</v>
      </c>
      <c r="H11" s="985">
        <v>0</v>
      </c>
      <c r="I11" s="985">
        <v>0</v>
      </c>
      <c r="J11" s="985">
        <v>0</v>
      </c>
      <c r="K11" s="985">
        <v>0</v>
      </c>
    </row>
    <row r="12" spans="1:11" s="505" customFormat="1" ht="12.75">
      <c r="A12" s="342">
        <v>9</v>
      </c>
      <c r="B12" s="347">
        <v>2</v>
      </c>
      <c r="C12" s="387" t="s">
        <v>103</v>
      </c>
      <c r="D12" s="388"/>
      <c r="E12" s="370">
        <f aca="true" t="shared" si="3" ref="E12:K12">E13</f>
        <v>1601.24</v>
      </c>
      <c r="F12" s="971">
        <f t="shared" si="3"/>
        <v>1767.11</v>
      </c>
      <c r="G12" s="971">
        <f t="shared" si="3"/>
        <v>1815</v>
      </c>
      <c r="H12" s="971">
        <f t="shared" si="3"/>
        <v>4375.6</v>
      </c>
      <c r="I12" s="971">
        <f t="shared" si="3"/>
        <v>1815</v>
      </c>
      <c r="J12" s="971">
        <f t="shared" si="3"/>
        <v>1815</v>
      </c>
      <c r="K12" s="971">
        <f t="shared" si="3"/>
        <v>1815</v>
      </c>
    </row>
    <row r="13" spans="1:11" s="505" customFormat="1" ht="12.75">
      <c r="A13" s="342">
        <v>10</v>
      </c>
      <c r="B13" s="344" t="s">
        <v>175</v>
      </c>
      <c r="C13" s="943" t="s">
        <v>0</v>
      </c>
      <c r="D13" s="418"/>
      <c r="E13" s="572">
        <f>E14+E15+E16+E17</f>
        <v>1601.24</v>
      </c>
      <c r="F13" s="572">
        <f aca="true" t="shared" si="4" ref="F13:K13">F14+F15+F16+F17</f>
        <v>1767.11</v>
      </c>
      <c r="G13" s="572">
        <f t="shared" si="4"/>
        <v>1815</v>
      </c>
      <c r="H13" s="572">
        <f t="shared" si="4"/>
        <v>4375.6</v>
      </c>
      <c r="I13" s="572">
        <f t="shared" si="4"/>
        <v>1815</v>
      </c>
      <c r="J13" s="572">
        <f t="shared" si="4"/>
        <v>1815</v>
      </c>
      <c r="K13" s="572">
        <f t="shared" si="4"/>
        <v>1815</v>
      </c>
    </row>
    <row r="14" spans="1:11" s="505" customFormat="1" ht="12.75">
      <c r="A14" s="342">
        <v>11</v>
      </c>
      <c r="B14" s="349"/>
      <c r="C14" s="346" t="s">
        <v>289</v>
      </c>
      <c r="D14" s="384" t="s">
        <v>131</v>
      </c>
      <c r="E14" s="367">
        <v>1443.6</v>
      </c>
      <c r="F14" s="985">
        <v>1548</v>
      </c>
      <c r="G14" s="985">
        <v>1560</v>
      </c>
      <c r="H14" s="985">
        <v>1551.6</v>
      </c>
      <c r="I14" s="985">
        <v>1560</v>
      </c>
      <c r="J14" s="985">
        <v>1560</v>
      </c>
      <c r="K14" s="985">
        <v>1560</v>
      </c>
    </row>
    <row r="15" spans="1:11" s="505" customFormat="1" ht="12.75">
      <c r="A15" s="342">
        <v>12</v>
      </c>
      <c r="B15" s="466"/>
      <c r="C15" s="417" t="s">
        <v>289</v>
      </c>
      <c r="D15" s="827" t="s">
        <v>576</v>
      </c>
      <c r="E15" s="367">
        <v>126.49</v>
      </c>
      <c r="F15" s="985">
        <v>114.11</v>
      </c>
      <c r="G15" s="985">
        <v>150</v>
      </c>
      <c r="H15" s="985">
        <v>112</v>
      </c>
      <c r="I15" s="985">
        <f>78.82+71.18</f>
        <v>150</v>
      </c>
      <c r="J15" s="985">
        <v>150</v>
      </c>
      <c r="K15" s="985">
        <v>150</v>
      </c>
    </row>
    <row r="16" spans="1:11" s="505" customFormat="1" ht="12.75">
      <c r="A16" s="342">
        <v>13</v>
      </c>
      <c r="B16" s="466"/>
      <c r="C16" s="417" t="s">
        <v>289</v>
      </c>
      <c r="D16" s="384" t="s">
        <v>224</v>
      </c>
      <c r="E16" s="367">
        <v>31.15</v>
      </c>
      <c r="F16" s="985">
        <v>105</v>
      </c>
      <c r="G16" s="985">
        <v>105</v>
      </c>
      <c r="H16" s="985">
        <v>120</v>
      </c>
      <c r="I16" s="985">
        <f>78.82+26.18</f>
        <v>105</v>
      </c>
      <c r="J16" s="985">
        <v>105</v>
      </c>
      <c r="K16" s="985">
        <v>105</v>
      </c>
    </row>
    <row r="17" spans="1:11" s="505" customFormat="1" ht="12.75">
      <c r="A17" s="580" t="s">
        <v>478</v>
      </c>
      <c r="B17" s="349"/>
      <c r="C17" s="744" t="s">
        <v>289</v>
      </c>
      <c r="D17" s="384" t="s">
        <v>325</v>
      </c>
      <c r="E17" s="367">
        <v>0</v>
      </c>
      <c r="F17" s="985">
        <v>0</v>
      </c>
      <c r="G17" s="985">
        <v>0</v>
      </c>
      <c r="H17" s="985">
        <v>2592</v>
      </c>
      <c r="I17" s="985">
        <v>0</v>
      </c>
      <c r="J17" s="985">
        <v>0</v>
      </c>
      <c r="K17" s="985">
        <v>0</v>
      </c>
    </row>
    <row r="18" spans="1:11" s="505" customFormat="1" ht="12.75">
      <c r="A18" s="342">
        <v>15</v>
      </c>
      <c r="B18" s="347">
        <v>3</v>
      </c>
      <c r="C18" s="387" t="s">
        <v>104</v>
      </c>
      <c r="D18" s="388"/>
      <c r="E18" s="370">
        <f aca="true" t="shared" si="5" ref="E18:K18">E19</f>
        <v>32112.02</v>
      </c>
      <c r="F18" s="971">
        <f t="shared" si="5"/>
        <v>31261.9</v>
      </c>
      <c r="G18" s="971">
        <f t="shared" si="5"/>
        <v>32783.1</v>
      </c>
      <c r="H18" s="971">
        <f t="shared" si="5"/>
        <v>32242.3</v>
      </c>
      <c r="I18" s="971">
        <f t="shared" si="5"/>
        <v>34840.848</v>
      </c>
      <c r="J18" s="971">
        <f t="shared" si="5"/>
        <v>35874.07344</v>
      </c>
      <c r="K18" s="971">
        <f t="shared" si="5"/>
        <v>36938.2956432</v>
      </c>
    </row>
    <row r="19" spans="1:11" s="505" customFormat="1" ht="12.75">
      <c r="A19" s="342">
        <v>16</v>
      </c>
      <c r="B19" s="394" t="s">
        <v>173</v>
      </c>
      <c r="C19" s="984" t="s">
        <v>132</v>
      </c>
      <c r="D19" s="418"/>
      <c r="E19" s="572">
        <f>E20+E21+E22+E23+E24</f>
        <v>32112.02</v>
      </c>
      <c r="F19" s="973">
        <f aca="true" t="shared" si="6" ref="F19:K19">F20+F21+F22+F23+F24</f>
        <v>31261.9</v>
      </c>
      <c r="G19" s="973">
        <f t="shared" si="6"/>
        <v>32783.1</v>
      </c>
      <c r="H19" s="973">
        <f t="shared" si="6"/>
        <v>32242.3</v>
      </c>
      <c r="I19" s="973">
        <f t="shared" si="6"/>
        <v>34840.848</v>
      </c>
      <c r="J19" s="973">
        <f t="shared" si="6"/>
        <v>35874.07344</v>
      </c>
      <c r="K19" s="973">
        <f t="shared" si="6"/>
        <v>36938.2956432</v>
      </c>
    </row>
    <row r="20" spans="1:11" s="505" customFormat="1" ht="12.75">
      <c r="A20" s="342">
        <v>17</v>
      </c>
      <c r="B20" s="466"/>
      <c r="C20" s="987" t="s">
        <v>318</v>
      </c>
      <c r="D20" s="393" t="s">
        <v>268</v>
      </c>
      <c r="E20" s="725">
        <v>22538.68</v>
      </c>
      <c r="F20" s="988">
        <v>22262.25</v>
      </c>
      <c r="G20" s="988">
        <v>23952</v>
      </c>
      <c r="H20" s="988">
        <v>23552</v>
      </c>
      <c r="I20" s="988">
        <v>25474</v>
      </c>
      <c r="J20" s="988">
        <f>I20*1.03</f>
        <v>26238.22</v>
      </c>
      <c r="K20" s="988">
        <f>J20*1.03</f>
        <v>27025.3666</v>
      </c>
    </row>
    <row r="21" spans="1:11" s="505" customFormat="1" ht="12.75">
      <c r="A21" s="342">
        <v>18</v>
      </c>
      <c r="B21" s="466"/>
      <c r="C21" s="987" t="s">
        <v>319</v>
      </c>
      <c r="D21" s="393" t="s">
        <v>278</v>
      </c>
      <c r="E21" s="725">
        <v>7763.31</v>
      </c>
      <c r="F21" s="988">
        <v>7836.31</v>
      </c>
      <c r="G21" s="988">
        <v>8431.1</v>
      </c>
      <c r="H21" s="988">
        <v>8290.3</v>
      </c>
      <c r="I21" s="988">
        <f>I20*0.352</f>
        <v>8966.848</v>
      </c>
      <c r="J21" s="988">
        <f>J20*0.352</f>
        <v>9235.85344</v>
      </c>
      <c r="K21" s="988">
        <f>K20*0.352</f>
        <v>9512.9290432</v>
      </c>
    </row>
    <row r="22" spans="1:11" s="505" customFormat="1" ht="12.75">
      <c r="A22" s="342">
        <v>19</v>
      </c>
      <c r="B22" s="466"/>
      <c r="C22" s="987" t="s">
        <v>289</v>
      </c>
      <c r="D22" s="393" t="s">
        <v>211</v>
      </c>
      <c r="E22" s="725">
        <v>296</v>
      </c>
      <c r="F22" s="988">
        <v>454.35</v>
      </c>
      <c r="G22" s="988">
        <v>200</v>
      </c>
      <c r="H22" s="988">
        <v>200</v>
      </c>
      <c r="I22" s="988">
        <v>200</v>
      </c>
      <c r="J22" s="988">
        <v>200</v>
      </c>
      <c r="K22" s="988">
        <v>200</v>
      </c>
    </row>
    <row r="23" spans="1:11" s="505" customFormat="1" ht="12.75">
      <c r="A23" s="342">
        <v>20</v>
      </c>
      <c r="B23" s="466"/>
      <c r="C23" s="987" t="s">
        <v>289</v>
      </c>
      <c r="D23" s="990" t="s">
        <v>459</v>
      </c>
      <c r="E23" s="725">
        <v>514.03</v>
      </c>
      <c r="F23" s="988">
        <v>708.99</v>
      </c>
      <c r="G23" s="988">
        <v>200</v>
      </c>
      <c r="H23" s="988">
        <v>200</v>
      </c>
      <c r="I23" s="988">
        <v>200</v>
      </c>
      <c r="J23" s="988">
        <v>200</v>
      </c>
      <c r="K23" s="988">
        <v>200</v>
      </c>
    </row>
    <row r="24" spans="1:11" s="505" customFormat="1" ht="12.75">
      <c r="A24" s="342">
        <v>21</v>
      </c>
      <c r="B24" s="349"/>
      <c r="C24" s="953" t="s">
        <v>289</v>
      </c>
      <c r="D24" s="963" t="s">
        <v>418</v>
      </c>
      <c r="E24" s="367">
        <v>1000</v>
      </c>
      <c r="F24" s="985">
        <v>0</v>
      </c>
      <c r="G24" s="985">
        <v>0</v>
      </c>
      <c r="H24" s="985">
        <v>0</v>
      </c>
      <c r="I24" s="985">
        <v>0</v>
      </c>
      <c r="J24" s="985">
        <v>0</v>
      </c>
      <c r="K24" s="985">
        <v>0</v>
      </c>
    </row>
    <row r="25" spans="1:11" s="505" customFormat="1" ht="12.75">
      <c r="A25" s="342">
        <v>22</v>
      </c>
      <c r="B25" s="343">
        <v>4</v>
      </c>
      <c r="C25" s="381" t="s">
        <v>460</v>
      </c>
      <c r="D25" s="382"/>
      <c r="E25" s="706">
        <f aca="true" t="shared" si="7" ref="E25:K25">E26</f>
        <v>62281.76000000001</v>
      </c>
      <c r="F25" s="989">
        <f t="shared" si="7"/>
        <v>67178.47000000002</v>
      </c>
      <c r="G25" s="989">
        <f t="shared" si="7"/>
        <v>91568.72</v>
      </c>
      <c r="H25" s="989">
        <f t="shared" si="7"/>
        <v>91707.72</v>
      </c>
      <c r="I25" s="989">
        <f t="shared" si="7"/>
        <v>96311.536</v>
      </c>
      <c r="J25" s="989">
        <f t="shared" si="7"/>
        <v>98780.34208</v>
      </c>
      <c r="K25" s="989">
        <f t="shared" si="7"/>
        <v>100823.2123424</v>
      </c>
    </row>
    <row r="26" spans="1:11" s="505" customFormat="1" ht="12.75">
      <c r="A26" s="342">
        <v>23</v>
      </c>
      <c r="B26" s="344" t="s">
        <v>176</v>
      </c>
      <c r="C26" s="943" t="s">
        <v>55</v>
      </c>
      <c r="D26" s="418"/>
      <c r="E26" s="572">
        <f>E27+E28+E29+E31+E32+E34+E35+E36+E37+E38+E39+E30</f>
        <v>62281.76000000001</v>
      </c>
      <c r="F26" s="572">
        <f>F27+F28+F29+F31+F32+F34+F35+F36+F37+F38+F39+F30</f>
        <v>67178.47000000002</v>
      </c>
      <c r="G26" s="572">
        <f>SUM(G27:G39)</f>
        <v>91568.72</v>
      </c>
      <c r="H26" s="572">
        <f>SUM(H27:H39)</f>
        <v>91707.72</v>
      </c>
      <c r="I26" s="572">
        <f>SUM(I27:I39)</f>
        <v>96311.536</v>
      </c>
      <c r="J26" s="572">
        <f>SUM(J27:J39)</f>
        <v>98780.34208</v>
      </c>
      <c r="K26" s="572">
        <f>SUM(K27:K39)</f>
        <v>100823.2123424</v>
      </c>
    </row>
    <row r="27" spans="1:16" s="505" customFormat="1" ht="19.5">
      <c r="A27" s="342">
        <v>24</v>
      </c>
      <c r="B27" s="345"/>
      <c r="C27" s="346" t="s">
        <v>318</v>
      </c>
      <c r="D27" s="747" t="s">
        <v>617</v>
      </c>
      <c r="E27" s="367">
        <v>31223.83</v>
      </c>
      <c r="F27" s="985">
        <v>38999</v>
      </c>
      <c r="G27" s="985">
        <v>57360</v>
      </c>
      <c r="H27" s="985">
        <v>56860</v>
      </c>
      <c r="I27" s="985">
        <v>60868</v>
      </c>
      <c r="J27" s="985">
        <f>I27*1.03</f>
        <v>62694.04</v>
      </c>
      <c r="K27" s="985">
        <f>J27*1.03</f>
        <v>64574.8612</v>
      </c>
      <c r="L27" s="991"/>
      <c r="M27" s="548"/>
      <c r="N27" s="992"/>
      <c r="O27" s="548"/>
      <c r="P27" s="548"/>
    </row>
    <row r="28" spans="1:16" s="505" customFormat="1" ht="12.75">
      <c r="A28" s="342">
        <v>25</v>
      </c>
      <c r="B28" s="345"/>
      <c r="C28" s="346" t="s">
        <v>319</v>
      </c>
      <c r="D28" s="393" t="s">
        <v>278</v>
      </c>
      <c r="E28" s="367">
        <v>10337.71</v>
      </c>
      <c r="F28" s="985">
        <v>13727.66</v>
      </c>
      <c r="G28" s="985">
        <v>20190.72</v>
      </c>
      <c r="H28" s="985">
        <v>20014.72</v>
      </c>
      <c r="I28" s="985">
        <f>I27*0.352</f>
        <v>21425.536</v>
      </c>
      <c r="J28" s="985">
        <f>J27*0.352</f>
        <v>22068.302079999998</v>
      </c>
      <c r="K28" s="985">
        <f>K27*0.352</f>
        <v>22730.3511424</v>
      </c>
      <c r="L28" s="548"/>
      <c r="M28" s="548"/>
      <c r="N28" s="548"/>
      <c r="O28" s="548"/>
      <c r="P28" s="548"/>
    </row>
    <row r="29" spans="1:16" s="505" customFormat="1" ht="12.75">
      <c r="A29" s="342">
        <v>26</v>
      </c>
      <c r="B29" s="345"/>
      <c r="C29" s="346" t="s">
        <v>289</v>
      </c>
      <c r="D29" s="393" t="s">
        <v>213</v>
      </c>
      <c r="E29" s="367">
        <v>5058.38</v>
      </c>
      <c r="F29" s="985">
        <v>2000</v>
      </c>
      <c r="G29" s="985">
        <v>1500</v>
      </c>
      <c r="H29" s="985">
        <v>1500</v>
      </c>
      <c r="I29" s="985">
        <v>1500</v>
      </c>
      <c r="J29" s="985">
        <v>1500</v>
      </c>
      <c r="K29" s="985">
        <v>1500</v>
      </c>
      <c r="L29" s="548"/>
      <c r="M29" s="548"/>
      <c r="N29" s="548"/>
      <c r="O29" s="548"/>
      <c r="P29" s="548"/>
    </row>
    <row r="30" spans="1:11" s="505" customFormat="1" ht="12.75">
      <c r="A30" s="342">
        <v>27</v>
      </c>
      <c r="B30" s="345"/>
      <c r="C30" s="346" t="s">
        <v>319</v>
      </c>
      <c r="D30" s="990" t="s">
        <v>458</v>
      </c>
      <c r="E30" s="367">
        <v>1147.66</v>
      </c>
      <c r="F30" s="985">
        <v>704</v>
      </c>
      <c r="G30" s="985">
        <v>528</v>
      </c>
      <c r="H30" s="985">
        <v>528</v>
      </c>
      <c r="I30" s="985">
        <f>I29*0.352</f>
        <v>528</v>
      </c>
      <c r="J30" s="985">
        <f>J29*0.352</f>
        <v>528</v>
      </c>
      <c r="K30" s="985">
        <f>K29*0.352</f>
        <v>528</v>
      </c>
    </row>
    <row r="31" spans="1:11" s="505" customFormat="1" ht="12.75">
      <c r="A31" s="342">
        <v>28</v>
      </c>
      <c r="B31" s="345"/>
      <c r="C31" s="346" t="s">
        <v>289</v>
      </c>
      <c r="D31" s="393" t="s">
        <v>273</v>
      </c>
      <c r="E31" s="367">
        <v>5229.75</v>
      </c>
      <c r="F31" s="985">
        <v>3829.36</v>
      </c>
      <c r="G31" s="985">
        <v>2500</v>
      </c>
      <c r="H31" s="985">
        <v>3500</v>
      </c>
      <c r="I31" s="985">
        <v>3000</v>
      </c>
      <c r="J31" s="985">
        <v>2800</v>
      </c>
      <c r="K31" s="985">
        <v>2500</v>
      </c>
    </row>
    <row r="32" spans="1:11" s="505" customFormat="1" ht="12.75">
      <c r="A32" s="342">
        <v>29</v>
      </c>
      <c r="B32" s="345"/>
      <c r="C32" s="346" t="s">
        <v>289</v>
      </c>
      <c r="D32" s="990" t="s">
        <v>592</v>
      </c>
      <c r="E32" s="367">
        <v>3310.21</v>
      </c>
      <c r="F32" s="985">
        <v>2874.23</v>
      </c>
      <c r="G32" s="985">
        <v>2500</v>
      </c>
      <c r="H32" s="985">
        <v>2000</v>
      </c>
      <c r="I32" s="985">
        <v>2000</v>
      </c>
      <c r="J32" s="985">
        <v>2000</v>
      </c>
      <c r="K32" s="985">
        <v>2000</v>
      </c>
    </row>
    <row r="33" spans="1:11" s="505" customFormat="1" ht="12.75">
      <c r="A33" s="342">
        <v>30</v>
      </c>
      <c r="B33" s="345"/>
      <c r="C33" s="744" t="s">
        <v>289</v>
      </c>
      <c r="D33" s="990" t="s">
        <v>591</v>
      </c>
      <c r="E33" s="367">
        <v>0</v>
      </c>
      <c r="F33" s="985">
        <v>0</v>
      </c>
      <c r="G33" s="985">
        <v>500</v>
      </c>
      <c r="H33" s="985">
        <v>500</v>
      </c>
      <c r="I33" s="985">
        <v>500</v>
      </c>
      <c r="J33" s="985">
        <v>500</v>
      </c>
      <c r="K33" s="985">
        <v>500</v>
      </c>
    </row>
    <row r="34" spans="1:11" s="505" customFormat="1" ht="12.75">
      <c r="A34" s="342">
        <v>31</v>
      </c>
      <c r="B34" s="345"/>
      <c r="C34" s="346" t="s">
        <v>289</v>
      </c>
      <c r="D34" s="393" t="s">
        <v>105</v>
      </c>
      <c r="E34" s="367">
        <v>649.8</v>
      </c>
      <c r="F34" s="985">
        <v>76.22</v>
      </c>
      <c r="G34" s="985">
        <v>500</v>
      </c>
      <c r="H34" s="985">
        <v>500</v>
      </c>
      <c r="I34" s="985">
        <v>500</v>
      </c>
      <c r="J34" s="985">
        <v>500</v>
      </c>
      <c r="K34" s="985">
        <v>500</v>
      </c>
    </row>
    <row r="35" spans="1:11" s="505" customFormat="1" ht="12.75">
      <c r="A35" s="341">
        <v>32</v>
      </c>
      <c r="B35" s="349"/>
      <c r="C35" s="417" t="s">
        <v>289</v>
      </c>
      <c r="D35" s="384" t="s">
        <v>274</v>
      </c>
      <c r="E35" s="369">
        <v>633.9</v>
      </c>
      <c r="F35" s="993">
        <v>14.95</v>
      </c>
      <c r="G35" s="993">
        <v>300</v>
      </c>
      <c r="H35" s="993">
        <v>615</v>
      </c>
      <c r="I35" s="993">
        <v>300</v>
      </c>
      <c r="J35" s="993">
        <v>500</v>
      </c>
      <c r="K35" s="993">
        <v>300</v>
      </c>
    </row>
    <row r="36" spans="1:11" s="505" customFormat="1" ht="12.75">
      <c r="A36" s="341">
        <v>33</v>
      </c>
      <c r="B36" s="349"/>
      <c r="C36" s="417" t="s">
        <v>289</v>
      </c>
      <c r="D36" s="384" t="s">
        <v>120</v>
      </c>
      <c r="E36" s="369">
        <v>726.03</v>
      </c>
      <c r="F36" s="993">
        <v>1230.4</v>
      </c>
      <c r="G36" s="993">
        <v>1000</v>
      </c>
      <c r="H36" s="993">
        <v>1000</v>
      </c>
      <c r="I36" s="993">
        <v>1000</v>
      </c>
      <c r="J36" s="993">
        <v>1000</v>
      </c>
      <c r="K36" s="993">
        <v>1000</v>
      </c>
    </row>
    <row r="37" spans="1:11" s="505" customFormat="1" ht="12.75">
      <c r="A37" s="341">
        <v>34</v>
      </c>
      <c r="B37" s="349"/>
      <c r="C37" s="417" t="s">
        <v>289</v>
      </c>
      <c r="D37" s="384" t="s">
        <v>101</v>
      </c>
      <c r="E37" s="369">
        <v>0</v>
      </c>
      <c r="F37" s="993">
        <v>825.6</v>
      </c>
      <c r="G37" s="993">
        <v>500</v>
      </c>
      <c r="H37" s="993">
        <v>500</v>
      </c>
      <c r="I37" s="993">
        <v>500</v>
      </c>
      <c r="J37" s="993">
        <v>500</v>
      </c>
      <c r="K37" s="993">
        <v>500</v>
      </c>
    </row>
    <row r="38" spans="1:11" s="505" customFormat="1" ht="12.75">
      <c r="A38" s="341">
        <v>35</v>
      </c>
      <c r="B38" s="349"/>
      <c r="C38" s="417" t="s">
        <v>289</v>
      </c>
      <c r="D38" s="827" t="s">
        <v>507</v>
      </c>
      <c r="E38" s="369">
        <v>2694.08</v>
      </c>
      <c r="F38" s="993">
        <v>2289.14</v>
      </c>
      <c r="G38" s="993">
        <v>2640</v>
      </c>
      <c r="H38" s="993">
        <v>2640</v>
      </c>
      <c r="I38" s="993">
        <f>(6*2.2)*200</f>
        <v>2640</v>
      </c>
      <c r="J38" s="993">
        <f>(6*2.2)*200</f>
        <v>2640</v>
      </c>
      <c r="K38" s="993">
        <f>(6*2.2)*200</f>
        <v>2640</v>
      </c>
    </row>
    <row r="39" spans="1:11" s="505" customFormat="1" ht="12.75">
      <c r="A39" s="341">
        <v>36</v>
      </c>
      <c r="B39" s="349"/>
      <c r="C39" s="417" t="s">
        <v>289</v>
      </c>
      <c r="D39" s="384" t="s">
        <v>133</v>
      </c>
      <c r="E39" s="369">
        <v>1270.41</v>
      </c>
      <c r="F39" s="993">
        <v>607.91</v>
      </c>
      <c r="G39" s="993">
        <v>1550</v>
      </c>
      <c r="H39" s="993">
        <v>1550</v>
      </c>
      <c r="I39" s="993">
        <v>1550</v>
      </c>
      <c r="J39" s="993">
        <v>1550</v>
      </c>
      <c r="K39" s="993">
        <v>1550</v>
      </c>
    </row>
    <row r="40" spans="1:11" s="505" customFormat="1" ht="12.75">
      <c r="A40" s="341">
        <v>37</v>
      </c>
      <c r="B40" s="994">
        <v>5</v>
      </c>
      <c r="C40" s="995" t="s">
        <v>201</v>
      </c>
      <c r="D40" s="996"/>
      <c r="E40" s="997">
        <f aca="true" t="shared" si="8" ref="E40:K41">E41</f>
        <v>90.84</v>
      </c>
      <c r="F40" s="998">
        <f t="shared" si="8"/>
        <v>121.24</v>
      </c>
      <c r="G40" s="998">
        <f t="shared" si="8"/>
        <v>0</v>
      </c>
      <c r="H40" s="998">
        <f t="shared" si="8"/>
        <v>660.91</v>
      </c>
      <c r="I40" s="998">
        <f t="shared" si="8"/>
        <v>0</v>
      </c>
      <c r="J40" s="998">
        <f t="shared" si="8"/>
        <v>0</v>
      </c>
      <c r="K40" s="998">
        <f t="shared" si="8"/>
        <v>0</v>
      </c>
    </row>
    <row r="41" spans="1:11" s="505" customFormat="1" ht="12.75">
      <c r="A41" s="341">
        <v>38</v>
      </c>
      <c r="B41" s="728" t="s">
        <v>202</v>
      </c>
      <c r="C41" s="999" t="s">
        <v>219</v>
      </c>
      <c r="D41" s="760"/>
      <c r="E41" s="761">
        <f t="shared" si="8"/>
        <v>90.84</v>
      </c>
      <c r="F41" s="761">
        <f t="shared" si="8"/>
        <v>121.24</v>
      </c>
      <c r="G41" s="761">
        <f t="shared" si="8"/>
        <v>0</v>
      </c>
      <c r="H41" s="761">
        <f t="shared" si="8"/>
        <v>660.91</v>
      </c>
      <c r="I41" s="761">
        <f t="shared" si="8"/>
        <v>0</v>
      </c>
      <c r="J41" s="761">
        <f t="shared" si="8"/>
        <v>0</v>
      </c>
      <c r="K41" s="761">
        <f t="shared" si="8"/>
        <v>0</v>
      </c>
    </row>
    <row r="42" spans="1:11" s="505" customFormat="1" ht="20.25" thickBot="1">
      <c r="A42" s="341">
        <v>39</v>
      </c>
      <c r="B42" s="349"/>
      <c r="C42" s="744" t="s">
        <v>289</v>
      </c>
      <c r="D42" s="1014" t="s">
        <v>544</v>
      </c>
      <c r="E42" s="557">
        <v>90.84</v>
      </c>
      <c r="F42" s="993">
        <v>121.24</v>
      </c>
      <c r="G42" s="993">
        <v>0</v>
      </c>
      <c r="H42" s="993">
        <v>660.91</v>
      </c>
      <c r="I42" s="993">
        <v>0</v>
      </c>
      <c r="J42" s="993">
        <v>0</v>
      </c>
      <c r="K42" s="993">
        <v>0</v>
      </c>
    </row>
    <row r="43" s="64" customFormat="1" ht="9.75">
      <c r="B43" s="48"/>
    </row>
    <row r="44" spans="1:2" s="64" customFormat="1" ht="9.75">
      <c r="A44" s="176"/>
      <c r="B44" s="169"/>
    </row>
    <row r="45" spans="1:2" s="64" customFormat="1" ht="9.75">
      <c r="A45" s="176"/>
      <c r="B45" s="169"/>
    </row>
    <row r="46" spans="1:11" s="64" customFormat="1" ht="15" thickBot="1">
      <c r="A46" s="23"/>
      <c r="B46" s="204" t="s">
        <v>323</v>
      </c>
      <c r="C46"/>
      <c r="D46"/>
      <c r="E46"/>
      <c r="F46"/>
      <c r="G46"/>
      <c r="H46"/>
      <c r="I46"/>
      <c r="J46"/>
      <c r="K46"/>
    </row>
    <row r="47" spans="1:11" s="64" customFormat="1" ht="15">
      <c r="A47" s="1248" t="s">
        <v>10</v>
      </c>
      <c r="B47" s="1249"/>
      <c r="C47" s="1249"/>
      <c r="D47" s="1249"/>
      <c r="E47" s="200" t="s">
        <v>283</v>
      </c>
      <c r="F47" s="508" t="s">
        <v>368</v>
      </c>
      <c r="G47" s="121" t="s">
        <v>369</v>
      </c>
      <c r="H47" s="121" t="s">
        <v>286</v>
      </c>
      <c r="I47" s="535" t="s">
        <v>13</v>
      </c>
      <c r="J47" s="513" t="s">
        <v>13</v>
      </c>
      <c r="K47" s="512" t="s">
        <v>13</v>
      </c>
    </row>
    <row r="48" spans="1:11" s="64" customFormat="1" ht="11.25">
      <c r="A48" s="128"/>
      <c r="B48" s="1258"/>
      <c r="C48" s="1259"/>
      <c r="D48" s="1259"/>
      <c r="E48" s="193"/>
      <c r="F48" s="193"/>
      <c r="G48" s="510" t="s">
        <v>285</v>
      </c>
      <c r="H48" s="510" t="s">
        <v>287</v>
      </c>
      <c r="I48" s="536"/>
      <c r="J48" s="1079" t="s">
        <v>505</v>
      </c>
      <c r="K48" s="1079" t="s">
        <v>505</v>
      </c>
    </row>
    <row r="49" spans="1:11" s="64" customFormat="1" ht="15.75">
      <c r="A49" s="128"/>
      <c r="B49" s="29" t="s">
        <v>310</v>
      </c>
      <c r="C49" s="52" t="s">
        <v>312</v>
      </c>
      <c r="D49" s="356"/>
      <c r="E49" s="195">
        <v>2018</v>
      </c>
      <c r="F49" s="509" t="s">
        <v>367</v>
      </c>
      <c r="G49" s="511">
        <v>2020</v>
      </c>
      <c r="H49" s="196" t="s">
        <v>373</v>
      </c>
      <c r="I49" s="537">
        <v>2021</v>
      </c>
      <c r="J49" s="515" t="s">
        <v>432</v>
      </c>
      <c r="K49" s="514">
        <v>2023</v>
      </c>
    </row>
    <row r="50" spans="1:11" s="64" customFormat="1" ht="12" thickBot="1">
      <c r="A50" s="131"/>
      <c r="B50" s="33" t="s">
        <v>305</v>
      </c>
      <c r="C50" s="54" t="s">
        <v>305</v>
      </c>
      <c r="D50" s="350" t="s">
        <v>5</v>
      </c>
      <c r="E50" s="198" t="s">
        <v>276</v>
      </c>
      <c r="F50" s="198" t="s">
        <v>276</v>
      </c>
      <c r="G50" s="199" t="s">
        <v>276</v>
      </c>
      <c r="H50" s="199" t="s">
        <v>276</v>
      </c>
      <c r="I50" s="538" t="s">
        <v>276</v>
      </c>
      <c r="J50" s="517" t="s">
        <v>276</v>
      </c>
      <c r="K50" s="516" t="s">
        <v>276</v>
      </c>
    </row>
    <row r="51" spans="1:11" s="64" customFormat="1" ht="11.25" thickBot="1" thickTop="1">
      <c r="A51" s="133">
        <v>1</v>
      </c>
      <c r="B51" s="134" t="s">
        <v>129</v>
      </c>
      <c r="C51" s="135"/>
      <c r="D51" s="136"/>
      <c r="E51" s="179">
        <f aca="true" t="shared" si="9" ref="E51:K51">E52+E55+E58</f>
        <v>0</v>
      </c>
      <c r="F51" s="179">
        <f t="shared" si="9"/>
        <v>0</v>
      </c>
      <c r="G51" s="158">
        <f t="shared" si="9"/>
        <v>0</v>
      </c>
      <c r="H51" s="158">
        <f t="shared" si="9"/>
        <v>0</v>
      </c>
      <c r="I51" s="158">
        <f t="shared" si="9"/>
        <v>0</v>
      </c>
      <c r="J51" s="158">
        <f t="shared" si="9"/>
        <v>0</v>
      </c>
      <c r="K51" s="158">
        <f t="shared" si="9"/>
        <v>0</v>
      </c>
    </row>
    <row r="52" spans="1:11" s="64" customFormat="1" ht="10.5" thickTop="1">
      <c r="A52" s="93">
        <v>2</v>
      </c>
      <c r="B52" s="141">
        <v>2</v>
      </c>
      <c r="C52" s="142" t="s">
        <v>103</v>
      </c>
      <c r="D52" s="143"/>
      <c r="E52" s="518">
        <f aca="true" t="shared" si="10" ref="E52:K53">E53</f>
        <v>0</v>
      </c>
      <c r="F52" s="518">
        <f t="shared" si="10"/>
        <v>0</v>
      </c>
      <c r="G52" s="162">
        <f t="shared" si="10"/>
        <v>0</v>
      </c>
      <c r="H52" s="162">
        <f t="shared" si="10"/>
        <v>0</v>
      </c>
      <c r="I52" s="162">
        <f t="shared" si="10"/>
        <v>0</v>
      </c>
      <c r="J52" s="162">
        <f t="shared" si="10"/>
        <v>0</v>
      </c>
      <c r="K52" s="162">
        <f t="shared" si="10"/>
        <v>0</v>
      </c>
    </row>
    <row r="53" spans="1:11" s="64" customFormat="1" ht="9.75">
      <c r="A53" s="93">
        <v>3</v>
      </c>
      <c r="B53" s="59" t="s">
        <v>175</v>
      </c>
      <c r="C53" s="154" t="s">
        <v>0</v>
      </c>
      <c r="D53" s="155"/>
      <c r="E53" s="144">
        <f>E54</f>
        <v>0</v>
      </c>
      <c r="F53" s="144">
        <f>F54</f>
        <v>0</v>
      </c>
      <c r="G53" s="160">
        <f t="shared" si="10"/>
        <v>0</v>
      </c>
      <c r="H53" s="160">
        <f t="shared" si="10"/>
        <v>0</v>
      </c>
      <c r="I53" s="160">
        <f t="shared" si="10"/>
        <v>0</v>
      </c>
      <c r="J53" s="160">
        <f t="shared" si="10"/>
        <v>0</v>
      </c>
      <c r="K53" s="160">
        <f t="shared" si="10"/>
        <v>0</v>
      </c>
    </row>
    <row r="54" spans="1:11" s="64" customFormat="1" ht="9.75">
      <c r="A54" s="61" t="s">
        <v>7</v>
      </c>
      <c r="B54" s="114"/>
      <c r="C54" s="68" t="s">
        <v>289</v>
      </c>
      <c r="D54" s="119" t="s">
        <v>336</v>
      </c>
      <c r="E54" s="140">
        <v>0</v>
      </c>
      <c r="F54" s="140">
        <v>0</v>
      </c>
      <c r="G54" s="161">
        <v>0</v>
      </c>
      <c r="H54" s="161">
        <f>G54</f>
        <v>0</v>
      </c>
      <c r="I54" s="161">
        <f>H54</f>
        <v>0</v>
      </c>
      <c r="J54" s="161">
        <f>I54</f>
        <v>0</v>
      </c>
      <c r="K54" s="161">
        <f>J54</f>
        <v>0</v>
      </c>
    </row>
    <row r="55" spans="1:11" s="64" customFormat="1" ht="9.75">
      <c r="A55" s="93">
        <v>5</v>
      </c>
      <c r="B55" s="141">
        <v>3</v>
      </c>
      <c r="C55" s="142" t="s">
        <v>104</v>
      </c>
      <c r="D55" s="143"/>
      <c r="E55" s="518">
        <f aca="true" t="shared" si="11" ref="E55:K56">E56</f>
        <v>0</v>
      </c>
      <c r="F55" s="518">
        <f t="shared" si="11"/>
        <v>0</v>
      </c>
      <c r="G55" s="162">
        <f t="shared" si="11"/>
        <v>0</v>
      </c>
      <c r="H55" s="162">
        <f t="shared" si="11"/>
        <v>0</v>
      </c>
      <c r="I55" s="162">
        <f t="shared" si="11"/>
        <v>0</v>
      </c>
      <c r="J55" s="162">
        <f t="shared" si="11"/>
        <v>0</v>
      </c>
      <c r="K55" s="162">
        <f t="shared" si="11"/>
        <v>0</v>
      </c>
    </row>
    <row r="56" spans="1:11" s="64" customFormat="1" ht="9.75">
      <c r="A56" s="93">
        <v>6</v>
      </c>
      <c r="B56" s="67" t="s">
        <v>173</v>
      </c>
      <c r="C56" s="159" t="s">
        <v>132</v>
      </c>
      <c r="D56" s="155"/>
      <c r="E56" s="144">
        <f>E57</f>
        <v>0</v>
      </c>
      <c r="F56" s="144">
        <f>F57</f>
        <v>0</v>
      </c>
      <c r="G56" s="160">
        <f t="shared" si="11"/>
        <v>0</v>
      </c>
      <c r="H56" s="160">
        <f t="shared" si="11"/>
        <v>0</v>
      </c>
      <c r="I56" s="160">
        <f t="shared" si="11"/>
        <v>0</v>
      </c>
      <c r="J56" s="160">
        <f t="shared" si="11"/>
        <v>0</v>
      </c>
      <c r="K56" s="160">
        <f t="shared" si="11"/>
        <v>0</v>
      </c>
    </row>
    <row r="57" spans="1:11" s="64" customFormat="1" ht="9.75">
      <c r="A57" s="93">
        <v>7</v>
      </c>
      <c r="B57" s="114"/>
      <c r="C57" s="146" t="s">
        <v>295</v>
      </c>
      <c r="D57" s="139" t="s">
        <v>337</v>
      </c>
      <c r="E57" s="140">
        <v>0</v>
      </c>
      <c r="F57" s="140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</row>
    <row r="58" spans="1:11" s="64" customFormat="1" ht="9.75">
      <c r="A58" s="133">
        <v>8</v>
      </c>
      <c r="B58" s="163">
        <v>5</v>
      </c>
      <c r="C58" s="164" t="s">
        <v>201</v>
      </c>
      <c r="D58" s="153"/>
      <c r="E58" s="519">
        <f aca="true" t="shared" si="12" ref="E58:K59">E59</f>
        <v>0</v>
      </c>
      <c r="F58" s="519">
        <f t="shared" si="12"/>
        <v>0</v>
      </c>
      <c r="G58" s="165">
        <f t="shared" si="12"/>
        <v>0</v>
      </c>
      <c r="H58" s="165">
        <f t="shared" si="12"/>
        <v>0</v>
      </c>
      <c r="I58" s="165">
        <f t="shared" si="12"/>
        <v>0</v>
      </c>
      <c r="J58" s="165">
        <f t="shared" si="12"/>
        <v>0</v>
      </c>
      <c r="K58" s="165">
        <f t="shared" si="12"/>
        <v>0</v>
      </c>
    </row>
    <row r="59" spans="1:11" s="64" customFormat="1" ht="9.75">
      <c r="A59" s="133">
        <v>9</v>
      </c>
      <c r="B59" s="75" t="s">
        <v>202</v>
      </c>
      <c r="C59" s="166" t="s">
        <v>219</v>
      </c>
      <c r="D59" s="167"/>
      <c r="E59" s="145">
        <f>E60</f>
        <v>0</v>
      </c>
      <c r="F59" s="145">
        <f>F60</f>
        <v>0</v>
      </c>
      <c r="G59" s="145">
        <f t="shared" si="12"/>
        <v>0</v>
      </c>
      <c r="H59" s="145">
        <f t="shared" si="12"/>
        <v>0</v>
      </c>
      <c r="I59" s="145">
        <f t="shared" si="12"/>
        <v>0</v>
      </c>
      <c r="J59" s="145">
        <f t="shared" si="12"/>
        <v>0</v>
      </c>
      <c r="K59" s="145">
        <f t="shared" si="12"/>
        <v>0</v>
      </c>
    </row>
    <row r="60" spans="1:11" s="64" customFormat="1" ht="10.5" thickBot="1">
      <c r="A60" s="133">
        <v>10</v>
      </c>
      <c r="B60" s="114"/>
      <c r="C60" s="68" t="s">
        <v>326</v>
      </c>
      <c r="D60" s="120" t="s">
        <v>338</v>
      </c>
      <c r="E60" s="150">
        <v>0</v>
      </c>
      <c r="F60" s="150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</row>
    <row r="61" spans="1:2" s="64" customFormat="1" ht="9.75">
      <c r="A61" s="176"/>
      <c r="B61" s="156"/>
    </row>
    <row r="62" spans="1:2" s="64" customFormat="1" ht="9.75">
      <c r="A62" s="176"/>
      <c r="B62" s="156"/>
    </row>
    <row r="63" spans="1:2" s="64" customFormat="1" ht="9.75">
      <c r="A63" s="176"/>
      <c r="B63" s="156"/>
    </row>
    <row r="64" spans="1:2" s="64" customFormat="1" ht="9.75">
      <c r="A64" s="176"/>
      <c r="B64" s="156"/>
    </row>
    <row r="65" spans="1:2" s="64" customFormat="1" ht="9.75">
      <c r="A65" s="176"/>
      <c r="B65" s="156"/>
    </row>
    <row r="66" spans="1:2" s="64" customFormat="1" ht="9.75">
      <c r="A66" s="176"/>
      <c r="B66" s="156"/>
    </row>
    <row r="67" s="64" customFormat="1" ht="9.75">
      <c r="B67" s="156"/>
    </row>
    <row r="68" s="64" customFormat="1" ht="9.75">
      <c r="B68" s="156"/>
    </row>
    <row r="69" s="64" customFormat="1" ht="9.75">
      <c r="B69" s="156"/>
    </row>
    <row r="70" s="64" customFormat="1" ht="9.75">
      <c r="B70" s="156"/>
    </row>
    <row r="71" s="64" customFormat="1" ht="9.75">
      <c r="B71" s="156"/>
    </row>
    <row r="72" s="64" customFormat="1" ht="9.75">
      <c r="B72" s="156"/>
    </row>
    <row r="73" s="64" customFormat="1" ht="9.75">
      <c r="B73" s="156"/>
    </row>
    <row r="74" s="64" customFormat="1" ht="9.75">
      <c r="B74" s="156"/>
    </row>
    <row r="75" s="64" customFormat="1" ht="9.75">
      <c r="B75" s="156"/>
    </row>
    <row r="76" s="64" customFormat="1" ht="9.75">
      <c r="B76" s="156"/>
    </row>
    <row r="77" s="64" customFormat="1" ht="9.75">
      <c r="B77" s="156"/>
    </row>
    <row r="78" s="64" customFormat="1" ht="9.75"/>
    <row r="79" s="64" customFormat="1" ht="9.75"/>
    <row r="80" s="64" customFormat="1" ht="9.75">
      <c r="B80" s="156"/>
    </row>
    <row r="81" s="64" customFormat="1" ht="9.75">
      <c r="D81" s="156"/>
    </row>
    <row r="82" s="64" customFormat="1" ht="9.75">
      <c r="D82" s="156"/>
    </row>
    <row r="83" ht="12.75">
      <c r="D83" s="38"/>
    </row>
    <row r="84" ht="12.75">
      <c r="D84" s="38"/>
    </row>
    <row r="90" s="64" customFormat="1" ht="9.75">
      <c r="B90" s="48"/>
    </row>
    <row r="91" spans="1:2" s="64" customFormat="1" ht="9.75">
      <c r="A91" s="176"/>
      <c r="B91" s="169"/>
    </row>
    <row r="92" spans="1:2" s="64" customFormat="1" ht="9.75">
      <c r="A92" s="176"/>
      <c r="B92" s="169"/>
    </row>
    <row r="93" spans="1:2" s="64" customFormat="1" ht="9.75">
      <c r="A93" s="176"/>
      <c r="B93" s="169"/>
    </row>
    <row r="94" spans="1:2" s="64" customFormat="1" ht="9.75">
      <c r="A94" s="176"/>
      <c r="B94" s="156"/>
    </row>
    <row r="95" spans="1:2" s="64" customFormat="1" ht="9.75">
      <c r="A95" s="176"/>
      <c r="B95" s="156"/>
    </row>
    <row r="96" spans="1:2" s="64" customFormat="1" ht="9.75">
      <c r="A96" s="176"/>
      <c r="B96" s="156"/>
    </row>
    <row r="97" s="64" customFormat="1" ht="9.75">
      <c r="B97" s="156"/>
    </row>
    <row r="98" s="64" customFormat="1" ht="9.75">
      <c r="B98" s="156"/>
    </row>
    <row r="99" s="64" customFormat="1" ht="9.75">
      <c r="B99" s="156"/>
    </row>
    <row r="100" s="64" customFormat="1" ht="9.75">
      <c r="B100" s="156"/>
    </row>
    <row r="101" s="64" customFormat="1" ht="9.75">
      <c r="B101" s="156"/>
    </row>
    <row r="102" s="64" customFormat="1" ht="9.75">
      <c r="B102" s="156"/>
    </row>
    <row r="103" s="64" customFormat="1" ht="9.75">
      <c r="B103" s="156"/>
    </row>
    <row r="104" s="64" customFormat="1" ht="9.75">
      <c r="B104" s="156"/>
    </row>
    <row r="105" s="64" customFormat="1" ht="9.75">
      <c r="B105" s="156"/>
    </row>
    <row r="106" s="64" customFormat="1" ht="9.75">
      <c r="B106" s="156"/>
    </row>
  </sheetData>
  <sheetProtection/>
  <mergeCells count="4">
    <mergeCell ref="A2:D2"/>
    <mergeCell ref="B3:D3"/>
    <mergeCell ref="A47:D47"/>
    <mergeCell ref="B48:D48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7.00390625" style="0" customWidth="1"/>
    <col min="4" max="4" width="27.574218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7.421875" style="0" bestFit="1" customWidth="1"/>
    <col min="10" max="10" width="8.28125" style="0" bestFit="1" customWidth="1"/>
    <col min="11" max="11" width="7.421875" style="0" bestFit="1" customWidth="1"/>
  </cols>
  <sheetData>
    <row r="1" spans="1:2" ht="15" thickBot="1">
      <c r="A1" s="23"/>
      <c r="B1" s="204" t="s">
        <v>327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60"/>
      <c r="B3" s="1261"/>
      <c r="C3" s="1261"/>
      <c r="D3" s="1261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28"/>
      <c r="B4" s="51" t="s">
        <v>310</v>
      </c>
      <c r="C4" s="52" t="s">
        <v>312</v>
      </c>
      <c r="D4" s="62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32"/>
      <c r="B5" s="53" t="s">
        <v>305</v>
      </c>
      <c r="C5" s="54" t="s">
        <v>74</v>
      </c>
      <c r="D5" s="340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s="505" customFormat="1" ht="14.25" thickBot="1" thickTop="1">
      <c r="A6" s="212">
        <v>1</v>
      </c>
      <c r="B6" s="134" t="s">
        <v>134</v>
      </c>
      <c r="C6" s="135"/>
      <c r="D6" s="380"/>
      <c r="E6" s="613">
        <f>E8+E10+E17</f>
        <v>3900.58</v>
      </c>
      <c r="F6" s="613">
        <f aca="true" t="shared" si="0" ref="F6:K6">F8+F10+F17</f>
        <v>3633.7400000000002</v>
      </c>
      <c r="G6" s="613">
        <f t="shared" si="0"/>
        <v>5706.75</v>
      </c>
      <c r="H6" s="613">
        <f t="shared" si="0"/>
        <v>1415</v>
      </c>
      <c r="I6" s="613">
        <f t="shared" si="0"/>
        <v>5150</v>
      </c>
      <c r="J6" s="613">
        <f t="shared" si="0"/>
        <v>5150</v>
      </c>
      <c r="K6" s="613">
        <f t="shared" si="0"/>
        <v>5150</v>
      </c>
    </row>
    <row r="7" spans="1:11" s="505" customFormat="1" ht="13.5" thickTop="1">
      <c r="A7" s="217">
        <v>2</v>
      </c>
      <c r="B7" s="683">
        <v>1</v>
      </c>
      <c r="C7" s="684" t="s">
        <v>79</v>
      </c>
      <c r="D7" s="685"/>
      <c r="E7" s="705"/>
      <c r="F7" s="705"/>
      <c r="G7" s="705"/>
      <c r="H7" s="705"/>
      <c r="I7" s="705"/>
      <c r="J7" s="705"/>
      <c r="K7" s="705"/>
    </row>
    <row r="8" spans="1:11" s="505" customFormat="1" ht="12.75">
      <c r="A8" s="217">
        <v>3</v>
      </c>
      <c r="B8" s="343"/>
      <c r="C8" s="381" t="s">
        <v>80</v>
      </c>
      <c r="D8" s="382"/>
      <c r="E8" s="706">
        <f aca="true" t="shared" si="1" ref="E8:K8">E9</f>
        <v>50</v>
      </c>
      <c r="F8" s="706">
        <f t="shared" si="1"/>
        <v>50</v>
      </c>
      <c r="G8" s="706">
        <f t="shared" si="1"/>
        <v>300</v>
      </c>
      <c r="H8" s="706">
        <f t="shared" si="1"/>
        <v>100</v>
      </c>
      <c r="I8" s="706">
        <f t="shared" si="1"/>
        <v>300</v>
      </c>
      <c r="J8" s="706">
        <f t="shared" si="1"/>
        <v>300</v>
      </c>
      <c r="K8" s="706">
        <f t="shared" si="1"/>
        <v>300</v>
      </c>
    </row>
    <row r="9" spans="1:13" s="505" customFormat="1" ht="12.75">
      <c r="A9" s="217">
        <v>4</v>
      </c>
      <c r="B9" s="344" t="s">
        <v>264</v>
      </c>
      <c r="C9" s="707" t="s">
        <v>633</v>
      </c>
      <c r="D9" s="521"/>
      <c r="E9" s="572">
        <v>50</v>
      </c>
      <c r="F9" s="572">
        <v>50</v>
      </c>
      <c r="G9" s="572">
        <v>300</v>
      </c>
      <c r="H9" s="572">
        <v>100</v>
      </c>
      <c r="I9" s="572">
        <v>300</v>
      </c>
      <c r="J9" s="572">
        <v>300</v>
      </c>
      <c r="K9" s="572">
        <v>300</v>
      </c>
      <c r="L9" s="708"/>
      <c r="M9" s="709"/>
    </row>
    <row r="10" spans="1:11" s="505" customFormat="1" ht="12.75">
      <c r="A10" s="217">
        <v>5</v>
      </c>
      <c r="B10" s="347">
        <v>2</v>
      </c>
      <c r="C10" s="387" t="s">
        <v>135</v>
      </c>
      <c r="D10" s="382"/>
      <c r="E10" s="706">
        <f aca="true" t="shared" si="2" ref="E10:K10">E11</f>
        <v>3850.58</v>
      </c>
      <c r="F10" s="706">
        <f t="shared" si="2"/>
        <v>3483.7400000000002</v>
      </c>
      <c r="G10" s="706">
        <f t="shared" si="2"/>
        <v>4906.75</v>
      </c>
      <c r="H10" s="706">
        <f t="shared" si="2"/>
        <v>1300</v>
      </c>
      <c r="I10" s="706">
        <f t="shared" si="2"/>
        <v>3850</v>
      </c>
      <c r="J10" s="706">
        <f t="shared" si="2"/>
        <v>3850</v>
      </c>
      <c r="K10" s="706">
        <f t="shared" si="2"/>
        <v>3850</v>
      </c>
    </row>
    <row r="11" spans="1:11" s="505" customFormat="1" ht="12.75">
      <c r="A11" s="217">
        <v>6</v>
      </c>
      <c r="B11" s="344" t="s">
        <v>265</v>
      </c>
      <c r="C11" s="707" t="s">
        <v>135</v>
      </c>
      <c r="D11" s="418"/>
      <c r="E11" s="572">
        <f>E12+E14+E15+E16+E13</f>
        <v>3850.58</v>
      </c>
      <c r="F11" s="572">
        <f aca="true" t="shared" si="3" ref="F11:K11">F12+F14+F15+F16+F13</f>
        <v>3483.7400000000002</v>
      </c>
      <c r="G11" s="572">
        <f t="shared" si="3"/>
        <v>4906.75</v>
      </c>
      <c r="H11" s="572">
        <f t="shared" si="3"/>
        <v>1300</v>
      </c>
      <c r="I11" s="572">
        <f t="shared" si="3"/>
        <v>3850</v>
      </c>
      <c r="J11" s="572">
        <f t="shared" si="3"/>
        <v>3850</v>
      </c>
      <c r="K11" s="572">
        <f t="shared" si="3"/>
        <v>3850</v>
      </c>
    </row>
    <row r="12" spans="1:11" s="505" customFormat="1" ht="12.75">
      <c r="A12" s="217">
        <v>7</v>
      </c>
      <c r="B12" s="404"/>
      <c r="C12" s="710" t="s">
        <v>289</v>
      </c>
      <c r="D12" s="384" t="s">
        <v>321</v>
      </c>
      <c r="E12" s="711">
        <v>943.77</v>
      </c>
      <c r="F12" s="711">
        <v>956.68</v>
      </c>
      <c r="G12" s="711">
        <v>960</v>
      </c>
      <c r="H12" s="711">
        <v>0</v>
      </c>
      <c r="I12" s="711">
        <v>0</v>
      </c>
      <c r="J12" s="711">
        <v>0</v>
      </c>
      <c r="K12" s="711">
        <v>0</v>
      </c>
    </row>
    <row r="13" spans="1:11" s="505" customFormat="1" ht="12.75">
      <c r="A13" s="217">
        <v>8</v>
      </c>
      <c r="B13" s="404"/>
      <c r="C13" s="710" t="s">
        <v>319</v>
      </c>
      <c r="D13" s="384" t="s">
        <v>328</v>
      </c>
      <c r="E13" s="711">
        <v>177.7</v>
      </c>
      <c r="F13" s="711">
        <v>191</v>
      </c>
      <c r="G13" s="711">
        <v>191</v>
      </c>
      <c r="H13" s="711">
        <v>0</v>
      </c>
      <c r="I13" s="711">
        <v>0</v>
      </c>
      <c r="J13" s="711">
        <v>0</v>
      </c>
      <c r="K13" s="711">
        <v>0</v>
      </c>
    </row>
    <row r="14" spans="1:11" s="505" customFormat="1" ht="12.75">
      <c r="A14" s="217">
        <v>9</v>
      </c>
      <c r="B14" s="404"/>
      <c r="C14" s="710" t="s">
        <v>289</v>
      </c>
      <c r="D14" s="384" t="s">
        <v>106</v>
      </c>
      <c r="E14" s="711">
        <v>1853.61</v>
      </c>
      <c r="F14" s="711">
        <v>1352.67</v>
      </c>
      <c r="G14" s="711">
        <v>2705.75</v>
      </c>
      <c r="H14" s="711">
        <v>1250</v>
      </c>
      <c r="I14" s="711">
        <v>2800</v>
      </c>
      <c r="J14" s="711">
        <v>2800</v>
      </c>
      <c r="K14" s="711">
        <v>2800</v>
      </c>
    </row>
    <row r="15" spans="1:11" s="505" customFormat="1" ht="12.75">
      <c r="A15" s="217">
        <v>10</v>
      </c>
      <c r="B15" s="404"/>
      <c r="C15" s="710" t="s">
        <v>289</v>
      </c>
      <c r="D15" s="384" t="s">
        <v>107</v>
      </c>
      <c r="E15" s="711">
        <v>875.5</v>
      </c>
      <c r="F15" s="711">
        <v>915.2</v>
      </c>
      <c r="G15" s="711">
        <v>1000</v>
      </c>
      <c r="H15" s="711">
        <v>0</v>
      </c>
      <c r="I15" s="711">
        <v>1000</v>
      </c>
      <c r="J15" s="711">
        <v>1000</v>
      </c>
      <c r="K15" s="711">
        <v>1000</v>
      </c>
    </row>
    <row r="16" spans="1:11" s="505" customFormat="1" ht="19.5">
      <c r="A16" s="217">
        <v>12</v>
      </c>
      <c r="B16" s="712"/>
      <c r="C16" s="346" t="s">
        <v>289</v>
      </c>
      <c r="D16" s="581" t="s">
        <v>455</v>
      </c>
      <c r="E16" s="369">
        <v>0</v>
      </c>
      <c r="F16" s="369">
        <v>68.19</v>
      </c>
      <c r="G16" s="369">
        <v>50</v>
      </c>
      <c r="H16" s="369">
        <v>50</v>
      </c>
      <c r="I16" s="369">
        <v>50</v>
      </c>
      <c r="J16" s="369">
        <v>50</v>
      </c>
      <c r="K16" s="369">
        <v>50</v>
      </c>
    </row>
    <row r="17" spans="1:11" s="505" customFormat="1" ht="12.75">
      <c r="A17" s="217">
        <v>13</v>
      </c>
      <c r="B17" s="347">
        <v>3</v>
      </c>
      <c r="C17" s="684" t="s">
        <v>51</v>
      </c>
      <c r="D17" s="685"/>
      <c r="E17" s="365">
        <f aca="true" t="shared" si="4" ref="E17:K18">E18</f>
        <v>0</v>
      </c>
      <c r="F17" s="365">
        <f t="shared" si="4"/>
        <v>100</v>
      </c>
      <c r="G17" s="365">
        <f t="shared" si="4"/>
        <v>500</v>
      </c>
      <c r="H17" s="365">
        <f t="shared" si="4"/>
        <v>15</v>
      </c>
      <c r="I17" s="365">
        <f t="shared" si="4"/>
        <v>1000</v>
      </c>
      <c r="J17" s="365">
        <f t="shared" si="4"/>
        <v>1000</v>
      </c>
      <c r="K17" s="365">
        <f t="shared" si="4"/>
        <v>1000</v>
      </c>
    </row>
    <row r="18" spans="1:11" s="505" customFormat="1" ht="12.75">
      <c r="A18" s="217">
        <v>14</v>
      </c>
      <c r="B18" s="389" t="s">
        <v>266</v>
      </c>
      <c r="C18" s="713" t="s">
        <v>51</v>
      </c>
      <c r="D18" s="714"/>
      <c r="E18" s="715">
        <f t="shared" si="4"/>
        <v>0</v>
      </c>
      <c r="F18" s="715">
        <f t="shared" si="4"/>
        <v>100</v>
      </c>
      <c r="G18" s="715">
        <f t="shared" si="4"/>
        <v>500</v>
      </c>
      <c r="H18" s="715">
        <f t="shared" si="4"/>
        <v>15</v>
      </c>
      <c r="I18" s="715">
        <f t="shared" si="4"/>
        <v>1000</v>
      </c>
      <c r="J18" s="715">
        <f t="shared" si="4"/>
        <v>1000</v>
      </c>
      <c r="K18" s="715">
        <f t="shared" si="4"/>
        <v>1000</v>
      </c>
    </row>
    <row r="19" spans="1:11" s="505" customFormat="1" ht="13.5" thickBot="1">
      <c r="A19" s="264">
        <v>15</v>
      </c>
      <c r="B19" s="716"/>
      <c r="C19" s="716">
        <v>630</v>
      </c>
      <c r="D19" s="746" t="s">
        <v>446</v>
      </c>
      <c r="E19" s="717">
        <v>0</v>
      </c>
      <c r="F19" s="717">
        <v>100</v>
      </c>
      <c r="G19" s="717">
        <v>500</v>
      </c>
      <c r="H19" s="717">
        <v>15</v>
      </c>
      <c r="I19" s="717">
        <v>1000</v>
      </c>
      <c r="J19" s="717">
        <v>1000</v>
      </c>
      <c r="K19" s="717">
        <v>1000</v>
      </c>
    </row>
    <row r="21" spans="2:4" s="64" customFormat="1" ht="9.75">
      <c r="B21" s="48"/>
      <c r="D21" s="171"/>
    </row>
    <row r="22" spans="1:4" s="64" customFormat="1" ht="9.75">
      <c r="A22" s="180"/>
      <c r="B22" s="172"/>
      <c r="D22" s="171"/>
    </row>
    <row r="23" s="64" customFormat="1" ht="9.75">
      <c r="B23" s="156"/>
    </row>
    <row r="24" s="64" customFormat="1" ht="9.75">
      <c r="B24" s="156"/>
    </row>
    <row r="25" s="64" customFormat="1" ht="9.75">
      <c r="B25" s="156"/>
    </row>
    <row r="26" s="64" customFormat="1" ht="9.75">
      <c r="B26" s="156"/>
    </row>
    <row r="27" s="64" customFormat="1" ht="9.75">
      <c r="B27" s="181"/>
    </row>
    <row r="28" s="64" customFormat="1" ht="9.75">
      <c r="B28" s="181"/>
    </row>
    <row r="29" s="64" customFormat="1" ht="9.75">
      <c r="B29" s="156"/>
    </row>
    <row r="30" spans="1:2" ht="12.75">
      <c r="A30" s="23"/>
      <c r="B30" s="50"/>
    </row>
    <row r="31" ht="12.75">
      <c r="D31" s="8"/>
    </row>
  </sheetData>
  <sheetProtection/>
  <mergeCells count="2">
    <mergeCell ref="A2:D2"/>
    <mergeCell ref="A3:D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7"/>
  <sheetViews>
    <sheetView zoomScale="130" zoomScaleNormal="130" zoomScalePageLayoutView="0" workbookViewId="0" topLeftCell="A1">
      <pane ySplit="5" topLeftCell="A57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5.421875" style="0" customWidth="1"/>
    <col min="4" max="4" width="27.2812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8.140625" style="0" bestFit="1" customWidth="1"/>
    <col min="10" max="10" width="8.28125" style="0" bestFit="1" customWidth="1"/>
    <col min="11" max="11" width="8.140625" style="0" bestFit="1" customWidth="1"/>
  </cols>
  <sheetData>
    <row r="1" spans="1:4" ht="15" thickBot="1">
      <c r="A1" s="23"/>
      <c r="B1" s="204" t="s">
        <v>329</v>
      </c>
      <c r="C1" s="8"/>
      <c r="D1" s="8"/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42"/>
      <c r="B3" s="1262"/>
      <c r="C3" s="1261"/>
      <c r="D3" s="1261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28"/>
      <c r="B4" s="65" t="s">
        <v>310</v>
      </c>
      <c r="C4" s="45" t="s">
        <v>303</v>
      </c>
      <c r="D4" s="31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32"/>
      <c r="B5" s="66" t="s">
        <v>305</v>
      </c>
      <c r="C5" s="46" t="s">
        <v>74</v>
      </c>
      <c r="D5" s="653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s="505" customFormat="1" ht="14.25" thickBot="1" thickTop="1">
      <c r="A6" s="499">
        <v>1</v>
      </c>
      <c r="B6" s="134" t="s">
        <v>139</v>
      </c>
      <c r="C6" s="135"/>
      <c r="D6" s="380"/>
      <c r="E6" s="613">
        <f aca="true" t="shared" si="0" ref="E6:K6">E7</f>
        <v>164991.68999999997</v>
      </c>
      <c r="F6" s="614">
        <f t="shared" si="0"/>
        <v>220596.61</v>
      </c>
      <c r="G6" s="614">
        <f t="shared" si="0"/>
        <v>246224</v>
      </c>
      <c r="H6" s="614">
        <f t="shared" si="0"/>
        <v>229494.93</v>
      </c>
      <c r="I6" s="614">
        <f t="shared" si="0"/>
        <v>218144.44</v>
      </c>
      <c r="J6" s="614">
        <f t="shared" si="0"/>
        <v>220669.1632</v>
      </c>
      <c r="K6" s="614">
        <f t="shared" si="0"/>
        <v>225787.128096</v>
      </c>
    </row>
    <row r="7" spans="1:11" s="505" customFormat="1" ht="13.5" thickTop="1">
      <c r="A7" s="942">
        <v>2</v>
      </c>
      <c r="B7" s="343">
        <v>1</v>
      </c>
      <c r="C7" s="381" t="s">
        <v>108</v>
      </c>
      <c r="D7" s="382"/>
      <c r="E7" s="365">
        <f>E8+E42+E44</f>
        <v>164991.68999999997</v>
      </c>
      <c r="F7" s="540">
        <f aca="true" t="shared" si="1" ref="F7:K7">F8+F42+F44</f>
        <v>220596.61</v>
      </c>
      <c r="G7" s="540">
        <f t="shared" si="1"/>
        <v>246224</v>
      </c>
      <c r="H7" s="540">
        <f t="shared" si="1"/>
        <v>229494.93</v>
      </c>
      <c r="I7" s="540">
        <f t="shared" si="1"/>
        <v>218144.44</v>
      </c>
      <c r="J7" s="540">
        <f t="shared" si="1"/>
        <v>220669.1632</v>
      </c>
      <c r="K7" s="540">
        <f t="shared" si="1"/>
        <v>225787.128096</v>
      </c>
    </row>
    <row r="8" spans="1:11" s="505" customFormat="1" ht="12.75">
      <c r="A8" s="942">
        <v>3</v>
      </c>
      <c r="B8" s="344" t="s">
        <v>249</v>
      </c>
      <c r="C8" s="943" t="s">
        <v>624</v>
      </c>
      <c r="D8" s="418"/>
      <c r="E8" s="570">
        <f>E9+E10+E11+E17+E18+E24+E25+E26+E27+E28+E29+E30+E31+E32+E33+E34+E35+E36+E38+E39+E40+E41+E37</f>
        <v>161252.59999999998</v>
      </c>
      <c r="F8" s="570">
        <f aca="true" t="shared" si="2" ref="F8:K8">F9+F10+F11+F17+F18+F24+F25+F26+F27+F28+F29+F30+F31+F32+F33+F34+F35+F36+F38+F39+F40+F41+F37</f>
        <v>217264.66</v>
      </c>
      <c r="G8" s="570">
        <f t="shared" si="2"/>
        <v>242214</v>
      </c>
      <c r="H8" s="570">
        <f t="shared" si="2"/>
        <v>226244.93</v>
      </c>
      <c r="I8" s="570">
        <f t="shared" si="2"/>
        <v>214924.44</v>
      </c>
      <c r="J8" s="570">
        <f t="shared" si="2"/>
        <v>217449.1632</v>
      </c>
      <c r="K8" s="570">
        <f t="shared" si="2"/>
        <v>222567.128096</v>
      </c>
    </row>
    <row r="9" spans="1:16" s="505" customFormat="1" ht="29.25">
      <c r="A9" s="499">
        <v>4</v>
      </c>
      <c r="B9" s="712"/>
      <c r="C9" s="397" t="s">
        <v>318</v>
      </c>
      <c r="D9" s="747" t="s">
        <v>515</v>
      </c>
      <c r="E9" s="369">
        <v>77788.91</v>
      </c>
      <c r="F9" s="539">
        <v>119502.75</v>
      </c>
      <c r="G9" s="539">
        <v>136000</v>
      </c>
      <c r="H9" s="539">
        <v>121000</v>
      </c>
      <c r="I9" s="539">
        <v>117720</v>
      </c>
      <c r="J9" s="539">
        <f>I9*1.03</f>
        <v>121251.6</v>
      </c>
      <c r="K9" s="539">
        <f>J9*1.03</f>
        <v>124889.14800000002</v>
      </c>
      <c r="P9" s="992"/>
    </row>
    <row r="10" spans="1:11" s="505" customFormat="1" ht="13.5" thickBot="1">
      <c r="A10" s="942">
        <v>5</v>
      </c>
      <c r="B10" s="945"/>
      <c r="C10" s="946" t="s">
        <v>319</v>
      </c>
      <c r="D10" s="990" t="s">
        <v>516</v>
      </c>
      <c r="E10" s="367">
        <v>28681.27</v>
      </c>
      <c r="F10" s="455">
        <v>43362.88</v>
      </c>
      <c r="G10" s="455">
        <v>47872</v>
      </c>
      <c r="H10" s="455">
        <f>H9*0.352</f>
        <v>42592</v>
      </c>
      <c r="I10" s="455">
        <f>I9*0.352</f>
        <v>41437.439999999995</v>
      </c>
      <c r="J10" s="455">
        <f>J9*0.352</f>
        <v>42680.5632</v>
      </c>
      <c r="K10" s="455">
        <f>K9*0.352</f>
        <v>43960.980096</v>
      </c>
    </row>
    <row r="11" spans="1:11" s="505" customFormat="1" ht="13.5" thickBot="1">
      <c r="A11" s="499">
        <v>6</v>
      </c>
      <c r="B11" s="947"/>
      <c r="C11" s="948"/>
      <c r="D11" s="949" t="s">
        <v>237</v>
      </c>
      <c r="E11" s="978">
        <f>E12+E13+E14+E15+E16+E17</f>
        <v>2790.76</v>
      </c>
      <c r="F11" s="978">
        <f aca="true" t="shared" si="3" ref="F11:K11">F12+F13+F14+F15+F16+F17</f>
        <v>2739.6000000000004</v>
      </c>
      <c r="G11" s="978">
        <f t="shared" si="3"/>
        <v>6440</v>
      </c>
      <c r="H11" s="978">
        <f t="shared" si="3"/>
        <v>4100</v>
      </c>
      <c r="I11" s="978">
        <f t="shared" si="3"/>
        <v>4715</v>
      </c>
      <c r="J11" s="978">
        <f t="shared" si="3"/>
        <v>4715</v>
      </c>
      <c r="K11" s="978">
        <f t="shared" si="3"/>
        <v>4715</v>
      </c>
    </row>
    <row r="12" spans="1:11" s="505" customFormat="1" ht="12.75">
      <c r="A12" s="942">
        <v>7</v>
      </c>
      <c r="B12" s="712"/>
      <c r="C12" s="397" t="s">
        <v>289</v>
      </c>
      <c r="D12" s="764" t="s">
        <v>234</v>
      </c>
      <c r="E12" s="542">
        <v>1224.1</v>
      </c>
      <c r="F12" s="542">
        <v>1044.42</v>
      </c>
      <c r="G12" s="543">
        <v>2530</v>
      </c>
      <c r="H12" s="543">
        <v>1700</v>
      </c>
      <c r="I12" s="543">
        <f>H12*1.15</f>
        <v>1954.9999999999998</v>
      </c>
      <c r="J12" s="543">
        <f>I12</f>
        <v>1954.9999999999998</v>
      </c>
      <c r="K12" s="543">
        <f>J12</f>
        <v>1954.9999999999998</v>
      </c>
    </row>
    <row r="13" spans="1:11" s="505" customFormat="1" ht="12.75">
      <c r="A13" s="942">
        <v>8</v>
      </c>
      <c r="B13" s="712"/>
      <c r="C13" s="397" t="s">
        <v>289</v>
      </c>
      <c r="D13" s="950" t="s">
        <v>235</v>
      </c>
      <c r="E13" s="544">
        <v>779.57</v>
      </c>
      <c r="F13" s="544">
        <v>662.98</v>
      </c>
      <c r="G13" s="544">
        <v>1840</v>
      </c>
      <c r="H13" s="544">
        <v>1000</v>
      </c>
      <c r="I13" s="543">
        <f>H13*1.15</f>
        <v>1150</v>
      </c>
      <c r="J13" s="543">
        <f aca="true" t="shared" si="4" ref="J13:K16">I13</f>
        <v>1150</v>
      </c>
      <c r="K13" s="543">
        <f t="shared" si="4"/>
        <v>1150</v>
      </c>
    </row>
    <row r="14" spans="1:11" s="505" customFormat="1" ht="12.75">
      <c r="A14" s="499">
        <v>9</v>
      </c>
      <c r="B14" s="406"/>
      <c r="C14" s="403" t="s">
        <v>289</v>
      </c>
      <c r="D14" s="950" t="s">
        <v>236</v>
      </c>
      <c r="E14" s="544">
        <v>413.05</v>
      </c>
      <c r="F14" s="544">
        <v>302.78</v>
      </c>
      <c r="G14" s="544">
        <v>862.5</v>
      </c>
      <c r="H14" s="544">
        <v>600</v>
      </c>
      <c r="I14" s="543">
        <f>H14*1.15</f>
        <v>690</v>
      </c>
      <c r="J14" s="543">
        <f t="shared" si="4"/>
        <v>690</v>
      </c>
      <c r="K14" s="543">
        <f t="shared" si="4"/>
        <v>690</v>
      </c>
    </row>
    <row r="15" spans="1:11" s="505" customFormat="1" ht="12.75">
      <c r="A15" s="499">
        <v>10</v>
      </c>
      <c r="B15" s="951"/>
      <c r="C15" s="952" t="s">
        <v>289</v>
      </c>
      <c r="D15" s="764" t="s">
        <v>419</v>
      </c>
      <c r="E15" s="543">
        <f>(374.04/2)</f>
        <v>187.02</v>
      </c>
      <c r="F15" s="620">
        <v>445.1</v>
      </c>
      <c r="G15" s="543">
        <v>632.5</v>
      </c>
      <c r="H15" s="543">
        <v>450</v>
      </c>
      <c r="I15" s="543">
        <f>H15*1.15</f>
        <v>517.5</v>
      </c>
      <c r="J15" s="543">
        <f t="shared" si="4"/>
        <v>517.5</v>
      </c>
      <c r="K15" s="543">
        <f t="shared" si="4"/>
        <v>517.5</v>
      </c>
    </row>
    <row r="16" spans="1:11" s="505" customFormat="1" ht="12.75">
      <c r="A16" s="499">
        <v>11</v>
      </c>
      <c r="B16" s="406"/>
      <c r="C16" s="953" t="s">
        <v>289</v>
      </c>
      <c r="D16" s="764" t="s">
        <v>420</v>
      </c>
      <c r="E16" s="544">
        <v>187.02</v>
      </c>
      <c r="F16" s="619">
        <v>284.32</v>
      </c>
      <c r="G16" s="544">
        <v>575</v>
      </c>
      <c r="H16" s="544">
        <v>350</v>
      </c>
      <c r="I16" s="543">
        <f>H16*1.15</f>
        <v>402.49999999999994</v>
      </c>
      <c r="J16" s="543">
        <f t="shared" si="4"/>
        <v>402.49999999999994</v>
      </c>
      <c r="K16" s="543">
        <f t="shared" si="4"/>
        <v>402.49999999999994</v>
      </c>
    </row>
    <row r="17" spans="1:11" s="505" customFormat="1" ht="13.5" thickBot="1">
      <c r="A17" s="942">
        <v>12</v>
      </c>
      <c r="B17" s="954"/>
      <c r="C17" s="407" t="s">
        <v>289</v>
      </c>
      <c r="D17" s="862" t="s">
        <v>332</v>
      </c>
      <c r="E17" s="571">
        <v>0</v>
      </c>
      <c r="F17" s="545">
        <v>0</v>
      </c>
      <c r="G17" s="557">
        <v>0</v>
      </c>
      <c r="H17" s="557">
        <v>0</v>
      </c>
      <c r="I17" s="557">
        <v>0</v>
      </c>
      <c r="J17" s="557">
        <v>0</v>
      </c>
      <c r="K17" s="557">
        <v>0</v>
      </c>
    </row>
    <row r="18" spans="1:11" s="505" customFormat="1" ht="13.5" thickBot="1">
      <c r="A18" s="942">
        <v>13</v>
      </c>
      <c r="B18" s="947"/>
      <c r="C18" s="948"/>
      <c r="D18" s="949" t="s">
        <v>230</v>
      </c>
      <c r="E18" s="978">
        <f>E19+E20+E21+E22+E23</f>
        <v>15699.4</v>
      </c>
      <c r="F18" s="978">
        <f aca="true" t="shared" si="5" ref="F18:K18">F19+F20+F21+F22+F23</f>
        <v>11607.439999999999</v>
      </c>
      <c r="G18" s="978">
        <f t="shared" si="5"/>
        <v>20250</v>
      </c>
      <c r="H18" s="978">
        <f t="shared" si="5"/>
        <v>17250</v>
      </c>
      <c r="I18" s="978">
        <f t="shared" si="5"/>
        <v>17250</v>
      </c>
      <c r="J18" s="978">
        <f t="shared" si="5"/>
        <v>17250</v>
      </c>
      <c r="K18" s="978">
        <f t="shared" si="5"/>
        <v>17250</v>
      </c>
    </row>
    <row r="19" spans="1:11" s="505" customFormat="1" ht="12.75">
      <c r="A19" s="499">
        <v>14</v>
      </c>
      <c r="B19" s="712"/>
      <c r="C19" s="397" t="s">
        <v>289</v>
      </c>
      <c r="D19" s="764" t="s">
        <v>231</v>
      </c>
      <c r="E19" s="542">
        <v>6852</v>
      </c>
      <c r="F19" s="542">
        <v>4536.25</v>
      </c>
      <c r="G19" s="543">
        <v>8800</v>
      </c>
      <c r="H19" s="543">
        <v>7200</v>
      </c>
      <c r="I19" s="543">
        <f>H19</f>
        <v>7200</v>
      </c>
      <c r="J19" s="543">
        <f>I19</f>
        <v>7200</v>
      </c>
      <c r="K19" s="543">
        <f>J19</f>
        <v>7200</v>
      </c>
    </row>
    <row r="20" spans="1:11" s="505" customFormat="1" ht="12.75">
      <c r="A20" s="942">
        <v>15</v>
      </c>
      <c r="B20" s="944"/>
      <c r="C20" s="403" t="s">
        <v>289</v>
      </c>
      <c r="D20" s="950" t="s">
        <v>232</v>
      </c>
      <c r="E20" s="543">
        <v>4811.8</v>
      </c>
      <c r="F20" s="543">
        <v>2383.39</v>
      </c>
      <c r="G20" s="543">
        <v>5500</v>
      </c>
      <c r="H20" s="543">
        <v>4600</v>
      </c>
      <c r="I20" s="543">
        <f aca="true" t="shared" si="6" ref="I20:K23">H20</f>
        <v>4600</v>
      </c>
      <c r="J20" s="543">
        <f t="shared" si="6"/>
        <v>4600</v>
      </c>
      <c r="K20" s="543">
        <f t="shared" si="6"/>
        <v>4600</v>
      </c>
    </row>
    <row r="21" spans="1:11" s="505" customFormat="1" ht="12.75">
      <c r="A21" s="942">
        <v>16</v>
      </c>
      <c r="B21" s="406"/>
      <c r="C21" s="403" t="s">
        <v>289</v>
      </c>
      <c r="D21" s="950" t="s">
        <v>233</v>
      </c>
      <c r="E21" s="544">
        <v>2233.56</v>
      </c>
      <c r="F21" s="544">
        <v>3218.47</v>
      </c>
      <c r="G21" s="544">
        <v>3850</v>
      </c>
      <c r="H21" s="544">
        <v>3800</v>
      </c>
      <c r="I21" s="543">
        <f t="shared" si="6"/>
        <v>3800</v>
      </c>
      <c r="J21" s="543">
        <f t="shared" si="6"/>
        <v>3800</v>
      </c>
      <c r="K21" s="543">
        <f t="shared" si="6"/>
        <v>3800</v>
      </c>
    </row>
    <row r="22" spans="1:11" s="505" customFormat="1" ht="12.75">
      <c r="A22" s="499">
        <v>17</v>
      </c>
      <c r="B22" s="406"/>
      <c r="C22" s="953" t="s">
        <v>289</v>
      </c>
      <c r="D22" s="950" t="s">
        <v>421</v>
      </c>
      <c r="E22" s="544">
        <f>1802.04/2</f>
        <v>901.02</v>
      </c>
      <c r="F22" s="619">
        <v>494.64</v>
      </c>
      <c r="G22" s="544">
        <v>1000</v>
      </c>
      <c r="H22" s="544">
        <v>300</v>
      </c>
      <c r="I22" s="543">
        <f t="shared" si="6"/>
        <v>300</v>
      </c>
      <c r="J22" s="543">
        <f t="shared" si="6"/>
        <v>300</v>
      </c>
      <c r="K22" s="543">
        <f t="shared" si="6"/>
        <v>300</v>
      </c>
    </row>
    <row r="23" spans="1:11" s="505" customFormat="1" ht="12.75">
      <c r="A23" s="955">
        <v>18</v>
      </c>
      <c r="B23" s="956"/>
      <c r="C23" s="957" t="s">
        <v>289</v>
      </c>
      <c r="D23" s="958" t="s">
        <v>422</v>
      </c>
      <c r="E23" s="718">
        <v>901.02</v>
      </c>
      <c r="F23" s="719">
        <v>974.69</v>
      </c>
      <c r="G23" s="718">
        <v>1100</v>
      </c>
      <c r="H23" s="718">
        <v>1350</v>
      </c>
      <c r="I23" s="543">
        <f t="shared" si="6"/>
        <v>1350</v>
      </c>
      <c r="J23" s="543">
        <f t="shared" si="6"/>
        <v>1350</v>
      </c>
      <c r="K23" s="543">
        <f t="shared" si="6"/>
        <v>1350</v>
      </c>
    </row>
    <row r="24" spans="1:11" s="505" customFormat="1" ht="13.5" thickBot="1">
      <c r="A24" s="942">
        <v>19</v>
      </c>
      <c r="B24" s="959"/>
      <c r="C24" s="946" t="s">
        <v>289</v>
      </c>
      <c r="D24" s="921" t="s">
        <v>331</v>
      </c>
      <c r="E24" s="368">
        <v>0</v>
      </c>
      <c r="F24" s="547">
        <v>0</v>
      </c>
      <c r="G24" s="368">
        <v>0</v>
      </c>
      <c r="H24" s="368">
        <v>0</v>
      </c>
      <c r="I24" s="368">
        <v>0</v>
      </c>
      <c r="J24" s="368">
        <v>0</v>
      </c>
      <c r="K24" s="368">
        <v>0</v>
      </c>
    </row>
    <row r="25" spans="1:11" s="505" customFormat="1" ht="13.5" thickBot="1">
      <c r="A25" s="942">
        <v>20</v>
      </c>
      <c r="B25" s="960"/>
      <c r="C25" s="1080" t="s">
        <v>289</v>
      </c>
      <c r="D25" s="961" t="s">
        <v>152</v>
      </c>
      <c r="E25" s="979">
        <v>732.23</v>
      </c>
      <c r="F25" s="980">
        <v>260.53</v>
      </c>
      <c r="G25" s="981">
        <v>800</v>
      </c>
      <c r="H25" s="981">
        <v>500</v>
      </c>
      <c r="I25" s="981">
        <v>800</v>
      </c>
      <c r="J25" s="981">
        <v>800</v>
      </c>
      <c r="K25" s="981">
        <v>800</v>
      </c>
    </row>
    <row r="26" spans="1:11" s="505" customFormat="1" ht="12.75">
      <c r="A26" s="942">
        <v>21</v>
      </c>
      <c r="B26" s="712"/>
      <c r="C26" s="566" t="s">
        <v>289</v>
      </c>
      <c r="D26" s="827" t="s">
        <v>510</v>
      </c>
      <c r="E26" s="369">
        <v>2230.63</v>
      </c>
      <c r="F26" s="539">
        <v>2266.3</v>
      </c>
      <c r="G26" s="539">
        <v>2000</v>
      </c>
      <c r="H26" s="539">
        <v>2700</v>
      </c>
      <c r="I26" s="539">
        <v>2200</v>
      </c>
      <c r="J26" s="539">
        <v>2000</v>
      </c>
      <c r="K26" s="539">
        <v>2000</v>
      </c>
    </row>
    <row r="27" spans="1:11" s="505" customFormat="1" ht="12.75">
      <c r="A27" s="499">
        <v>22</v>
      </c>
      <c r="B27" s="345"/>
      <c r="C27" s="403" t="s">
        <v>289</v>
      </c>
      <c r="D27" s="990" t="s">
        <v>511</v>
      </c>
      <c r="E27" s="369">
        <v>4314.17</v>
      </c>
      <c r="F27" s="539">
        <v>3933.14</v>
      </c>
      <c r="G27" s="539">
        <v>3000</v>
      </c>
      <c r="H27" s="539">
        <v>3400</v>
      </c>
      <c r="I27" s="539">
        <v>3000</v>
      </c>
      <c r="J27" s="539">
        <v>3000</v>
      </c>
      <c r="K27" s="539">
        <v>3000</v>
      </c>
    </row>
    <row r="28" spans="1:11" s="505" customFormat="1" ht="29.25">
      <c r="A28" s="942">
        <v>23</v>
      </c>
      <c r="B28" s="345"/>
      <c r="C28" s="397" t="s">
        <v>289</v>
      </c>
      <c r="D28" s="581" t="s">
        <v>514</v>
      </c>
      <c r="E28" s="369">
        <v>11123.22</v>
      </c>
      <c r="F28" s="539">
        <v>4898.09</v>
      </c>
      <c r="G28" s="539">
        <v>3000</v>
      </c>
      <c r="H28" s="539">
        <v>3300</v>
      </c>
      <c r="I28" s="539">
        <v>4000</v>
      </c>
      <c r="J28" s="539">
        <v>3000</v>
      </c>
      <c r="K28" s="539">
        <v>3000</v>
      </c>
    </row>
    <row r="29" spans="1:11" s="505" customFormat="1" ht="12.75">
      <c r="A29" s="499">
        <v>25</v>
      </c>
      <c r="B29" s="345"/>
      <c r="C29" s="397" t="s">
        <v>289</v>
      </c>
      <c r="D29" s="827" t="s">
        <v>427</v>
      </c>
      <c r="E29" s="369">
        <v>264.15</v>
      </c>
      <c r="F29" s="539">
        <v>218.9</v>
      </c>
      <c r="G29" s="539">
        <v>100</v>
      </c>
      <c r="H29" s="539">
        <v>150</v>
      </c>
      <c r="I29" s="539">
        <v>150</v>
      </c>
      <c r="J29" s="539">
        <v>100</v>
      </c>
      <c r="K29" s="539">
        <v>100</v>
      </c>
    </row>
    <row r="30" spans="1:11" s="505" customFormat="1" ht="12.75">
      <c r="A30" s="942">
        <v>26</v>
      </c>
      <c r="B30" s="345"/>
      <c r="C30" s="397" t="s">
        <v>289</v>
      </c>
      <c r="D30" s="384" t="s">
        <v>192</v>
      </c>
      <c r="E30" s="369">
        <v>500</v>
      </c>
      <c r="F30" s="539">
        <v>500</v>
      </c>
      <c r="G30" s="539">
        <v>500</v>
      </c>
      <c r="H30" s="539">
        <v>3300</v>
      </c>
      <c r="I30" s="539">
        <v>1000</v>
      </c>
      <c r="J30" s="539">
        <v>500</v>
      </c>
      <c r="K30" s="539">
        <v>500</v>
      </c>
    </row>
    <row r="31" spans="1:11" s="505" customFormat="1" ht="12.75">
      <c r="A31" s="942">
        <v>27</v>
      </c>
      <c r="B31" s="345"/>
      <c r="C31" s="397" t="s">
        <v>289</v>
      </c>
      <c r="D31" s="384" t="s">
        <v>136</v>
      </c>
      <c r="E31" s="369">
        <v>1024.25</v>
      </c>
      <c r="F31" s="539">
        <v>500</v>
      </c>
      <c r="G31" s="539">
        <v>500</v>
      </c>
      <c r="H31" s="539">
        <v>1500</v>
      </c>
      <c r="I31" s="539">
        <v>1000</v>
      </c>
      <c r="J31" s="539">
        <v>500</v>
      </c>
      <c r="K31" s="539">
        <v>500</v>
      </c>
    </row>
    <row r="32" spans="1:11" s="505" customFormat="1" ht="12.75">
      <c r="A32" s="499">
        <v>28</v>
      </c>
      <c r="B32" s="345"/>
      <c r="C32" s="403" t="s">
        <v>289</v>
      </c>
      <c r="D32" s="393" t="s">
        <v>137</v>
      </c>
      <c r="E32" s="369">
        <v>0</v>
      </c>
      <c r="F32" s="539">
        <v>1500</v>
      </c>
      <c r="G32" s="539">
        <v>1000</v>
      </c>
      <c r="H32" s="539">
        <v>1000</v>
      </c>
      <c r="I32" s="539">
        <v>1000</v>
      </c>
      <c r="J32" s="539">
        <v>1000</v>
      </c>
      <c r="K32" s="539">
        <v>1000</v>
      </c>
    </row>
    <row r="33" spans="1:11" s="505" customFormat="1" ht="12.75">
      <c r="A33" s="942">
        <v>29</v>
      </c>
      <c r="B33" s="962"/>
      <c r="C33" s="403" t="s">
        <v>289</v>
      </c>
      <c r="D33" s="963" t="s">
        <v>428</v>
      </c>
      <c r="E33" s="369">
        <v>1338.06</v>
      </c>
      <c r="F33" s="539">
        <v>337.82</v>
      </c>
      <c r="G33" s="539">
        <v>400</v>
      </c>
      <c r="H33" s="539">
        <v>650</v>
      </c>
      <c r="I33" s="539">
        <v>600</v>
      </c>
      <c r="J33" s="539">
        <v>400</v>
      </c>
      <c r="K33" s="539">
        <v>400</v>
      </c>
    </row>
    <row r="34" spans="1:11" s="505" customFormat="1" ht="12.75">
      <c r="A34" s="942">
        <v>30</v>
      </c>
      <c r="B34" s="677"/>
      <c r="C34" s="498" t="s">
        <v>289</v>
      </c>
      <c r="D34" s="965" t="s">
        <v>507</v>
      </c>
      <c r="E34" s="369">
        <v>4080.74</v>
      </c>
      <c r="F34" s="539">
        <v>3505.29</v>
      </c>
      <c r="G34" s="539">
        <v>3500</v>
      </c>
      <c r="H34" s="539">
        <v>3500</v>
      </c>
      <c r="I34" s="539">
        <v>3500</v>
      </c>
      <c r="J34" s="539">
        <v>3500</v>
      </c>
      <c r="K34" s="539">
        <v>3500</v>
      </c>
    </row>
    <row r="35" spans="1:11" s="505" customFormat="1" ht="12.75">
      <c r="A35" s="499">
        <v>31</v>
      </c>
      <c r="B35" s="677"/>
      <c r="C35" s="498" t="s">
        <v>289</v>
      </c>
      <c r="D35" s="965" t="s">
        <v>509</v>
      </c>
      <c r="E35" s="369">
        <v>1654.14</v>
      </c>
      <c r="F35" s="539">
        <v>2128.82</v>
      </c>
      <c r="G35" s="539">
        <v>2900</v>
      </c>
      <c r="H35" s="539">
        <v>2900</v>
      </c>
      <c r="I35" s="539">
        <v>3100</v>
      </c>
      <c r="J35" s="539">
        <v>3300</v>
      </c>
      <c r="K35" s="539">
        <v>3500</v>
      </c>
    </row>
    <row r="36" spans="1:11" s="505" customFormat="1" ht="12.75">
      <c r="A36" s="942">
        <v>32</v>
      </c>
      <c r="B36" s="677"/>
      <c r="C36" s="498" t="s">
        <v>289</v>
      </c>
      <c r="D36" s="834" t="s">
        <v>334</v>
      </c>
      <c r="E36" s="369">
        <v>1112.59</v>
      </c>
      <c r="F36" s="539">
        <v>1500</v>
      </c>
      <c r="G36" s="539">
        <v>1000</v>
      </c>
      <c r="H36" s="539">
        <v>1000</v>
      </c>
      <c r="I36" s="539">
        <v>1000</v>
      </c>
      <c r="J36" s="539">
        <v>1000</v>
      </c>
      <c r="K36" s="539">
        <v>1000</v>
      </c>
    </row>
    <row r="37" spans="1:11" s="505" customFormat="1" ht="12.75">
      <c r="A37" s="964" t="s">
        <v>508</v>
      </c>
      <c r="B37" s="677"/>
      <c r="C37" s="498" t="s">
        <v>319</v>
      </c>
      <c r="D37" s="834" t="s">
        <v>333</v>
      </c>
      <c r="E37" s="369">
        <v>349.81</v>
      </c>
      <c r="F37" s="539">
        <v>528</v>
      </c>
      <c r="G37" s="539">
        <v>352</v>
      </c>
      <c r="H37" s="539">
        <v>352</v>
      </c>
      <c r="I37" s="539">
        <f>I36*0.352</f>
        <v>352</v>
      </c>
      <c r="J37" s="539">
        <f>J36*0.352</f>
        <v>352</v>
      </c>
      <c r="K37" s="539">
        <f>K36*0.352</f>
        <v>352</v>
      </c>
    </row>
    <row r="38" spans="1:11" s="505" customFormat="1" ht="12.75">
      <c r="A38" s="942">
        <v>34</v>
      </c>
      <c r="B38" s="677"/>
      <c r="C38" s="498" t="s">
        <v>289</v>
      </c>
      <c r="D38" s="834" t="s">
        <v>138</v>
      </c>
      <c r="E38" s="369">
        <v>0</v>
      </c>
      <c r="F38" s="539">
        <v>0</v>
      </c>
      <c r="G38" s="539">
        <v>100</v>
      </c>
      <c r="H38" s="539">
        <v>100</v>
      </c>
      <c r="I38" s="539">
        <v>100</v>
      </c>
      <c r="J38" s="539">
        <v>100</v>
      </c>
      <c r="K38" s="539">
        <v>100</v>
      </c>
    </row>
    <row r="39" spans="1:11" s="505" customFormat="1" ht="39">
      <c r="A39" s="499">
        <v>35</v>
      </c>
      <c r="B39" s="677"/>
      <c r="C39" s="498" t="s">
        <v>289</v>
      </c>
      <c r="D39" s="1081" t="s">
        <v>512</v>
      </c>
      <c r="E39" s="369">
        <v>7126.87</v>
      </c>
      <c r="F39" s="539">
        <v>13226.31</v>
      </c>
      <c r="G39" s="539">
        <v>12000</v>
      </c>
      <c r="H39" s="539">
        <v>12000</v>
      </c>
      <c r="I39" s="539">
        <v>12000</v>
      </c>
      <c r="J39" s="539">
        <v>12000</v>
      </c>
      <c r="K39" s="539">
        <v>12000</v>
      </c>
    </row>
    <row r="40" spans="1:11" s="505" customFormat="1" ht="12.75">
      <c r="A40" s="942">
        <v>36</v>
      </c>
      <c r="B40" s="677"/>
      <c r="C40" s="498" t="s">
        <v>289</v>
      </c>
      <c r="D40" s="965" t="s">
        <v>513</v>
      </c>
      <c r="E40" s="367">
        <v>0</v>
      </c>
      <c r="F40" s="455">
        <v>3330.21</v>
      </c>
      <c r="G40" s="455">
        <v>0</v>
      </c>
      <c r="H40" s="455">
        <v>0</v>
      </c>
      <c r="I40" s="455">
        <v>0</v>
      </c>
      <c r="J40" s="455">
        <v>0</v>
      </c>
      <c r="K40" s="455">
        <v>0</v>
      </c>
    </row>
    <row r="41" spans="1:11" s="505" customFormat="1" ht="12.75">
      <c r="A41" s="982">
        <v>37</v>
      </c>
      <c r="B41" s="677"/>
      <c r="C41" s="498" t="s">
        <v>289</v>
      </c>
      <c r="D41" s="965" t="s">
        <v>517</v>
      </c>
      <c r="E41" s="367">
        <v>441.4</v>
      </c>
      <c r="F41" s="455">
        <v>1418.58</v>
      </c>
      <c r="G41" s="455">
        <v>500</v>
      </c>
      <c r="H41" s="455">
        <v>4950.93</v>
      </c>
      <c r="I41" s="455">
        <v>0</v>
      </c>
      <c r="J41" s="455">
        <v>0</v>
      </c>
      <c r="K41" s="455">
        <v>0</v>
      </c>
    </row>
    <row r="42" spans="1:11" s="505" customFormat="1" ht="12.75">
      <c r="A42" s="499">
        <v>38</v>
      </c>
      <c r="B42" s="389" t="s">
        <v>267</v>
      </c>
      <c r="C42" s="966" t="s">
        <v>2</v>
      </c>
      <c r="D42" s="967"/>
      <c r="E42" s="572">
        <f aca="true" t="shared" si="7" ref="E42:J42">E43</f>
        <v>1976.16</v>
      </c>
      <c r="F42" s="546">
        <f t="shared" si="7"/>
        <v>1865.8</v>
      </c>
      <c r="G42" s="546">
        <f t="shared" si="7"/>
        <v>2500</v>
      </c>
      <c r="H42" s="546">
        <f t="shared" si="7"/>
        <v>1850</v>
      </c>
      <c r="I42" s="546">
        <f t="shared" si="7"/>
        <v>1820</v>
      </c>
      <c r="J42" s="546">
        <f t="shared" si="7"/>
        <v>1820</v>
      </c>
      <c r="K42" s="546">
        <f>K43</f>
        <v>1820</v>
      </c>
    </row>
    <row r="43" spans="1:11" s="505" customFormat="1" ht="12.75">
      <c r="A43" s="942">
        <v>39</v>
      </c>
      <c r="B43" s="677"/>
      <c r="C43" s="498" t="s">
        <v>330</v>
      </c>
      <c r="D43" s="965" t="s">
        <v>518</v>
      </c>
      <c r="E43" s="367">
        <v>1976.16</v>
      </c>
      <c r="F43" s="455">
        <v>1865.8</v>
      </c>
      <c r="G43" s="455">
        <v>2500</v>
      </c>
      <c r="H43" s="455">
        <v>1850</v>
      </c>
      <c r="I43" s="455">
        <v>1820</v>
      </c>
      <c r="J43" s="455">
        <v>1820</v>
      </c>
      <c r="K43" s="455">
        <v>1820</v>
      </c>
    </row>
    <row r="44" spans="1:11" s="505" customFormat="1" ht="12.75">
      <c r="A44" s="942">
        <v>40</v>
      </c>
      <c r="B44" s="394" t="s">
        <v>92</v>
      </c>
      <c r="C44" s="943" t="s">
        <v>1</v>
      </c>
      <c r="D44" s="521"/>
      <c r="E44" s="570">
        <f aca="true" t="shared" si="8" ref="E44:K44">E45</f>
        <v>1762.93</v>
      </c>
      <c r="F44" s="541">
        <f t="shared" si="8"/>
        <v>1466.15</v>
      </c>
      <c r="G44" s="541">
        <f t="shared" si="8"/>
        <v>1510</v>
      </c>
      <c r="H44" s="541">
        <f t="shared" si="8"/>
        <v>1400</v>
      </c>
      <c r="I44" s="541">
        <f t="shared" si="8"/>
        <v>1400</v>
      </c>
      <c r="J44" s="541">
        <f t="shared" si="8"/>
        <v>1400</v>
      </c>
      <c r="K44" s="541">
        <f t="shared" si="8"/>
        <v>1400</v>
      </c>
    </row>
    <row r="45" spans="1:11" s="505" customFormat="1" ht="13.5" thickBot="1">
      <c r="A45" s="968">
        <v>41</v>
      </c>
      <c r="B45" s="395"/>
      <c r="C45" s="353" t="s">
        <v>289</v>
      </c>
      <c r="D45" s="1082" t="s">
        <v>519</v>
      </c>
      <c r="E45" s="368">
        <v>1762.93</v>
      </c>
      <c r="F45" s="547">
        <v>1466.15</v>
      </c>
      <c r="G45" s="547">
        <v>1510</v>
      </c>
      <c r="H45" s="547">
        <v>1400</v>
      </c>
      <c r="I45" s="547">
        <v>1400</v>
      </c>
      <c r="J45" s="547">
        <v>1400</v>
      </c>
      <c r="K45" s="547">
        <v>1400</v>
      </c>
    </row>
    <row r="46" spans="1:4" ht="15" customHeight="1">
      <c r="A46" s="23"/>
      <c r="B46" s="50"/>
      <c r="D46" s="37"/>
    </row>
    <row r="47" spans="2:4" s="64" customFormat="1" ht="9.75">
      <c r="B47" s="48"/>
      <c r="D47" s="171"/>
    </row>
    <row r="48" spans="1:2" s="64" customFormat="1" ht="9.75">
      <c r="A48" s="48"/>
      <c r="B48" s="156"/>
    </row>
    <row r="49" spans="1:11" s="64" customFormat="1" ht="15" thickBot="1">
      <c r="A49" s="23"/>
      <c r="B49" s="204" t="s">
        <v>405</v>
      </c>
      <c r="C49"/>
      <c r="D49"/>
      <c r="E49"/>
      <c r="F49"/>
      <c r="G49"/>
      <c r="H49"/>
      <c r="I49"/>
      <c r="J49"/>
      <c r="K49"/>
    </row>
    <row r="50" spans="1:11" s="64" customFormat="1" ht="15">
      <c r="A50" s="1248" t="s">
        <v>10</v>
      </c>
      <c r="B50" s="1249"/>
      <c r="C50" s="1249"/>
      <c r="D50" s="1250"/>
      <c r="E50" s="200" t="s">
        <v>283</v>
      </c>
      <c r="F50" s="508" t="s">
        <v>368</v>
      </c>
      <c r="G50" s="121" t="s">
        <v>369</v>
      </c>
      <c r="H50" s="121" t="s">
        <v>286</v>
      </c>
      <c r="I50" s="535" t="s">
        <v>13</v>
      </c>
      <c r="J50" s="513" t="s">
        <v>13</v>
      </c>
      <c r="K50" s="512" t="s">
        <v>13</v>
      </c>
    </row>
    <row r="51" spans="1:11" s="64" customFormat="1" ht="11.25">
      <c r="A51" s="128"/>
      <c r="B51" s="1258"/>
      <c r="C51" s="1259"/>
      <c r="D51" s="1263"/>
      <c r="E51" s="193"/>
      <c r="F51" s="193"/>
      <c r="G51" s="510" t="s">
        <v>285</v>
      </c>
      <c r="H51" s="510" t="s">
        <v>287</v>
      </c>
      <c r="I51" s="536"/>
      <c r="J51" s="1079" t="s">
        <v>505</v>
      </c>
      <c r="K51" s="1079" t="s">
        <v>505</v>
      </c>
    </row>
    <row r="52" spans="1:11" s="64" customFormat="1" ht="15.75">
      <c r="A52" s="128"/>
      <c r="B52" s="29" t="s">
        <v>310</v>
      </c>
      <c r="C52" s="52" t="s">
        <v>312</v>
      </c>
      <c r="D52" s="720"/>
      <c r="E52" s="195">
        <v>2018</v>
      </c>
      <c r="F52" s="509" t="s">
        <v>367</v>
      </c>
      <c r="G52" s="511">
        <v>2020</v>
      </c>
      <c r="H52" s="196" t="s">
        <v>373</v>
      </c>
      <c r="I52" s="537">
        <v>2021</v>
      </c>
      <c r="J52" s="515" t="s">
        <v>432</v>
      </c>
      <c r="K52" s="514">
        <v>2023</v>
      </c>
    </row>
    <row r="53" spans="1:11" s="64" customFormat="1" ht="12" thickBot="1">
      <c r="A53" s="131"/>
      <c r="B53" s="33" t="s">
        <v>305</v>
      </c>
      <c r="C53" s="54" t="s">
        <v>305</v>
      </c>
      <c r="D53" s="721" t="s">
        <v>5</v>
      </c>
      <c r="E53" s="198" t="s">
        <v>276</v>
      </c>
      <c r="F53" s="198" t="s">
        <v>276</v>
      </c>
      <c r="G53" s="199" t="s">
        <v>276</v>
      </c>
      <c r="H53" s="199" t="s">
        <v>276</v>
      </c>
      <c r="I53" s="538" t="s">
        <v>276</v>
      </c>
      <c r="J53" s="517" t="s">
        <v>276</v>
      </c>
      <c r="K53" s="516" t="s">
        <v>276</v>
      </c>
    </row>
    <row r="54" spans="1:11" s="970" customFormat="1" ht="11.25" thickBot="1" thickTop="1">
      <c r="A54" s="341">
        <v>1</v>
      </c>
      <c r="B54" s="134" t="s">
        <v>139</v>
      </c>
      <c r="C54" s="135"/>
      <c r="D54" s="585"/>
      <c r="E54" s="613">
        <f>E55+E58+E61</f>
        <v>0</v>
      </c>
      <c r="F54" s="969">
        <f aca="true" t="shared" si="9" ref="F54:K54">F55+F58+F61</f>
        <v>0</v>
      </c>
      <c r="G54" s="969">
        <f t="shared" si="9"/>
        <v>0</v>
      </c>
      <c r="H54" s="969">
        <f t="shared" si="9"/>
        <v>0</v>
      </c>
      <c r="I54" s="969">
        <f t="shared" si="9"/>
        <v>0</v>
      </c>
      <c r="J54" s="969">
        <f t="shared" si="9"/>
        <v>0</v>
      </c>
      <c r="K54" s="969">
        <f t="shared" si="9"/>
        <v>0</v>
      </c>
    </row>
    <row r="55" spans="1:11" s="970" customFormat="1" ht="10.5" thickTop="1">
      <c r="A55" s="342">
        <v>2</v>
      </c>
      <c r="B55" s="347">
        <v>1</v>
      </c>
      <c r="C55" s="387" t="s">
        <v>108</v>
      </c>
      <c r="D55" s="586"/>
      <c r="E55" s="370">
        <f aca="true" t="shared" si="10" ref="E55:K56">E56</f>
        <v>0</v>
      </c>
      <c r="F55" s="971">
        <f t="shared" si="10"/>
        <v>0</v>
      </c>
      <c r="G55" s="971">
        <f t="shared" si="10"/>
        <v>0</v>
      </c>
      <c r="H55" s="971">
        <f t="shared" si="10"/>
        <v>0</v>
      </c>
      <c r="I55" s="971">
        <f t="shared" si="10"/>
        <v>0</v>
      </c>
      <c r="J55" s="971">
        <f t="shared" si="10"/>
        <v>0</v>
      </c>
      <c r="K55" s="971">
        <f t="shared" si="10"/>
        <v>0</v>
      </c>
    </row>
    <row r="56" spans="1:11" s="970" customFormat="1" ht="9.75">
      <c r="A56" s="342">
        <v>3</v>
      </c>
      <c r="B56" s="344" t="s">
        <v>249</v>
      </c>
      <c r="C56" s="943" t="s">
        <v>406</v>
      </c>
      <c r="D56" s="972"/>
      <c r="E56" s="572">
        <f>E57</f>
        <v>0</v>
      </c>
      <c r="F56" s="973">
        <f>F57</f>
        <v>0</v>
      </c>
      <c r="G56" s="973">
        <f t="shared" si="10"/>
        <v>0</v>
      </c>
      <c r="H56" s="973">
        <f t="shared" si="10"/>
        <v>0</v>
      </c>
      <c r="I56" s="973">
        <f t="shared" si="10"/>
        <v>0</v>
      </c>
      <c r="J56" s="973">
        <f t="shared" si="10"/>
        <v>0</v>
      </c>
      <c r="K56" s="973">
        <f t="shared" si="10"/>
        <v>0</v>
      </c>
    </row>
    <row r="57" spans="1:11" s="970" customFormat="1" ht="10.5" thickBot="1">
      <c r="A57" s="974" t="s">
        <v>7</v>
      </c>
      <c r="B57" s="975"/>
      <c r="C57" s="743" t="s">
        <v>295</v>
      </c>
      <c r="D57" s="976" t="s">
        <v>407</v>
      </c>
      <c r="E57" s="368">
        <v>0</v>
      </c>
      <c r="F57" s="977">
        <v>0</v>
      </c>
      <c r="G57" s="977">
        <v>0</v>
      </c>
      <c r="H57" s="977">
        <f>G57</f>
        <v>0</v>
      </c>
      <c r="I57" s="977">
        <f>H57</f>
        <v>0</v>
      </c>
      <c r="J57" s="977">
        <f>I57</f>
        <v>0</v>
      </c>
      <c r="K57" s="977">
        <f>J57</f>
        <v>0</v>
      </c>
    </row>
    <row r="58" spans="1:2" s="64" customFormat="1" ht="9.75">
      <c r="A58" s="48"/>
      <c r="B58" s="156"/>
    </row>
    <row r="59" spans="1:2" s="64" customFormat="1" ht="9.75">
      <c r="A59" s="48"/>
      <c r="B59" s="156"/>
    </row>
    <row r="60" spans="1:2" s="64" customFormat="1" ht="9.75">
      <c r="A60" s="48"/>
      <c r="B60" s="156"/>
    </row>
    <row r="61" spans="1:2" s="64" customFormat="1" ht="9.75">
      <c r="A61" s="48"/>
      <c r="B61" s="169"/>
    </row>
    <row r="62" spans="1:2" s="64" customFormat="1" ht="9.75">
      <c r="A62" s="48"/>
      <c r="B62" s="156"/>
    </row>
    <row r="63" spans="1:2" s="64" customFormat="1" ht="9.75">
      <c r="A63" s="48"/>
      <c r="B63" s="156"/>
    </row>
    <row r="64" spans="1:2" s="64" customFormat="1" ht="9.75">
      <c r="A64" s="48"/>
      <c r="B64" s="156"/>
    </row>
    <row r="65" spans="1:2" s="64" customFormat="1" ht="9.75">
      <c r="A65" s="48"/>
      <c r="B65" s="156"/>
    </row>
    <row r="66" spans="1:2" s="64" customFormat="1" ht="9.75">
      <c r="A66" s="48"/>
      <c r="B66" s="156"/>
    </row>
    <row r="67" s="64" customFormat="1" ht="9.75">
      <c r="D67" s="156"/>
    </row>
    <row r="68" s="64" customFormat="1" ht="9.75"/>
    <row r="69" s="64" customFormat="1" ht="9.75"/>
    <row r="70" s="64" customFormat="1" ht="9.75"/>
  </sheetData>
  <sheetProtection/>
  <mergeCells count="4">
    <mergeCell ref="A2:D2"/>
    <mergeCell ref="B3:D3"/>
    <mergeCell ref="A50:D50"/>
    <mergeCell ref="B51:D51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L161"/>
  <sheetViews>
    <sheetView zoomScale="130" zoomScaleNormal="130" zoomScalePageLayoutView="0" workbookViewId="0" topLeftCell="A1">
      <pane ySplit="4" topLeftCell="A14" activePane="bottomLeft" state="frozen"/>
      <selection pane="topLeft" activeCell="A1" sqref="A1"/>
      <selection pane="bottomLeft" activeCell="K65" sqref="K65"/>
    </sheetView>
  </sheetViews>
  <sheetFormatPr defaultColWidth="9.140625" defaultRowHeight="12.75"/>
  <cols>
    <col min="1" max="1" width="2.7109375" style="0" customWidth="1"/>
    <col min="2" max="2" width="32.00390625" style="0" customWidth="1"/>
    <col min="3" max="3" width="10.28125" style="0" bestFit="1" customWidth="1"/>
    <col min="4" max="4" width="10.140625" style="0" bestFit="1" customWidth="1"/>
    <col min="5" max="5" width="8.8515625" style="0" bestFit="1" customWidth="1"/>
    <col min="6" max="6" width="10.28125" style="0" bestFit="1" customWidth="1"/>
    <col min="7" max="9" width="9.140625" style="0" bestFit="1" customWidth="1"/>
    <col min="11" max="11" width="11.7109375" style="0" bestFit="1" customWidth="1"/>
    <col min="12" max="12" width="10.57421875" style="0" bestFit="1" customWidth="1"/>
  </cols>
  <sheetData>
    <row r="1" spans="1:9" ht="12.75">
      <c r="A1" s="1264" t="s">
        <v>335</v>
      </c>
      <c r="B1" s="1265"/>
      <c r="C1" s="200" t="s">
        <v>283</v>
      </c>
      <c r="D1" s="508" t="s">
        <v>368</v>
      </c>
      <c r="E1" s="121" t="s">
        <v>369</v>
      </c>
      <c r="F1" s="121" t="s">
        <v>286</v>
      </c>
      <c r="G1" s="535" t="s">
        <v>13</v>
      </c>
      <c r="H1" s="513" t="s">
        <v>13</v>
      </c>
      <c r="I1" s="512" t="s">
        <v>13</v>
      </c>
    </row>
    <row r="2" spans="1:9" ht="12.75">
      <c r="A2" s="1266"/>
      <c r="B2" s="1267"/>
      <c r="C2" s="193"/>
      <c r="D2" s="193"/>
      <c r="E2" s="510" t="s">
        <v>285</v>
      </c>
      <c r="F2" s="510" t="s">
        <v>287</v>
      </c>
      <c r="G2" s="536"/>
      <c r="H2" s="1079" t="s">
        <v>505</v>
      </c>
      <c r="I2" s="1079" t="s">
        <v>505</v>
      </c>
    </row>
    <row r="3" spans="1:9" ht="15.75">
      <c r="A3" s="1266"/>
      <c r="B3" s="1267"/>
      <c r="C3" s="195">
        <v>2018</v>
      </c>
      <c r="D3" s="509" t="s">
        <v>367</v>
      </c>
      <c r="E3" s="511">
        <v>2020</v>
      </c>
      <c r="F3" s="196" t="s">
        <v>373</v>
      </c>
      <c r="G3" s="537">
        <v>2021</v>
      </c>
      <c r="H3" s="515" t="s">
        <v>432</v>
      </c>
      <c r="I3" s="514">
        <v>2023</v>
      </c>
    </row>
    <row r="4" spans="1:9" ht="13.5" thickBot="1">
      <c r="A4" s="1268"/>
      <c r="B4" s="1269"/>
      <c r="C4" s="198" t="s">
        <v>276</v>
      </c>
      <c r="D4" s="198" t="s">
        <v>276</v>
      </c>
      <c r="E4" s="199" t="s">
        <v>276</v>
      </c>
      <c r="F4" s="199" t="s">
        <v>276</v>
      </c>
      <c r="G4" s="538" t="s">
        <v>276</v>
      </c>
      <c r="H4" s="517" t="s">
        <v>276</v>
      </c>
      <c r="I4" s="516" t="s">
        <v>276</v>
      </c>
    </row>
    <row r="5" spans="1:9" s="505" customFormat="1" ht="13.5" thickTop="1">
      <c r="A5" s="1059">
        <v>1</v>
      </c>
      <c r="B5" s="1066" t="s">
        <v>356</v>
      </c>
      <c r="C5" s="1021">
        <f>'BP'!G111</f>
        <v>1377490.7400000002</v>
      </c>
      <c r="D5" s="1021">
        <f>'BP'!H111</f>
        <v>1543155.8199999998</v>
      </c>
      <c r="E5" s="1021">
        <f>'BP'!I111</f>
        <v>1631104.52</v>
      </c>
      <c r="F5" s="1021">
        <f>'BP'!J111</f>
        <v>1693277.1600000001</v>
      </c>
      <c r="G5" s="1021">
        <f>'BP'!K111</f>
        <v>1694546.94</v>
      </c>
      <c r="H5" s="1021">
        <f>'BP'!L111</f>
        <v>1683046.94</v>
      </c>
      <c r="I5" s="1021">
        <f>'BP'!M111</f>
        <v>1733046.94</v>
      </c>
    </row>
    <row r="6" spans="1:9" s="505" customFormat="1" ht="12.75">
      <c r="A6" s="1059">
        <v>2</v>
      </c>
      <c r="B6" s="1068" t="s">
        <v>503</v>
      </c>
      <c r="C6" s="1022">
        <f>'BP'!G98</f>
        <v>86691.25</v>
      </c>
      <c r="D6" s="1022">
        <f>'BP'!H98</f>
        <v>72437.40000000001</v>
      </c>
      <c r="E6" s="1022">
        <f>'BP'!I98</f>
        <v>114599.25</v>
      </c>
      <c r="F6" s="1022">
        <f>'BP'!J98</f>
        <v>128933.08</v>
      </c>
      <c r="G6" s="1022">
        <f>'BP'!K98</f>
        <v>97621</v>
      </c>
      <c r="H6" s="1022">
        <f>'BP'!L98</f>
        <v>105758</v>
      </c>
      <c r="I6" s="1022">
        <f>'BP'!M98</f>
        <v>105758</v>
      </c>
    </row>
    <row r="7" spans="1:9" s="505" customFormat="1" ht="12.75">
      <c r="A7" s="1060">
        <v>3</v>
      </c>
      <c r="B7" s="1067" t="s">
        <v>68</v>
      </c>
      <c r="C7" s="1023">
        <f>SUM(C9:C19)</f>
        <v>1296177.61</v>
      </c>
      <c r="D7" s="1023">
        <f>SUM(D9:D19)</f>
        <v>1425595.8199999998</v>
      </c>
      <c r="E7" s="1023">
        <f>E9+E10+E11+E12+E13+E14+E15+E16+E17+E18+E19</f>
        <v>1605072.6600000001</v>
      </c>
      <c r="F7" s="1023">
        <f>SUM(F9:F19)</f>
        <v>1661009.72</v>
      </c>
      <c r="G7" s="1023">
        <f>G9+G10+G11+G12+G13+G14+G15+G16+G17+G18+G19</f>
        <v>1665392.2829999998</v>
      </c>
      <c r="H7" s="1023">
        <f>H9+H10+H11+H12+H13+H14+H15+H16+H17+H18+H19</f>
        <v>1632944.29572</v>
      </c>
      <c r="I7" s="1023">
        <f>I9+I10+I11+I12+I13+I14+I15+I16+I17+I18+I19</f>
        <v>1655880.2630016</v>
      </c>
    </row>
    <row r="8" spans="1:12" s="505" customFormat="1" ht="12.75">
      <c r="A8" s="1060"/>
      <c r="B8" s="1024" t="s">
        <v>73</v>
      </c>
      <c r="C8" s="1025"/>
      <c r="D8" s="1025"/>
      <c r="E8" s="1025"/>
      <c r="F8" s="1025"/>
      <c r="G8" s="1025"/>
      <c r="H8" s="1025"/>
      <c r="I8" s="1025"/>
      <c r="L8" s="724"/>
    </row>
    <row r="9" spans="1:12" s="505" customFormat="1" ht="12.75">
      <c r="A9" s="1060"/>
      <c r="B9" s="1026" t="s">
        <v>181</v>
      </c>
      <c r="C9" s="1025">
        <f>VP1!E6</f>
        <v>7290.51</v>
      </c>
      <c r="D9" s="1025">
        <f>VP1!F6</f>
        <v>6899.7</v>
      </c>
      <c r="E9" s="1025">
        <f>VP1!G6</f>
        <v>6950</v>
      </c>
      <c r="F9" s="1025">
        <f>VP1!H6</f>
        <v>6526</v>
      </c>
      <c r="G9" s="1025">
        <f>VP1!I6</f>
        <v>6950</v>
      </c>
      <c r="H9" s="1025">
        <f>VP1!J6</f>
        <v>6950</v>
      </c>
      <c r="I9" s="1025">
        <f>VP1!K6</f>
        <v>6950</v>
      </c>
      <c r="L9" s="724"/>
    </row>
    <row r="10" spans="1:12" s="505" customFormat="1" ht="12.75">
      <c r="A10" s="1060"/>
      <c r="B10" s="1027" t="s">
        <v>182</v>
      </c>
      <c r="C10" s="1025">
        <f>VP2!E6</f>
        <v>57462.50000000001</v>
      </c>
      <c r="D10" s="1025">
        <f>VP2!F6</f>
        <v>47530.48</v>
      </c>
      <c r="E10" s="1025">
        <f>VP2!G6</f>
        <v>49541</v>
      </c>
      <c r="F10" s="1025">
        <f>VP2!H6</f>
        <v>70925.56</v>
      </c>
      <c r="G10" s="1025">
        <f>VP2!I6</f>
        <v>50906</v>
      </c>
      <c r="H10" s="1025">
        <f>VP2!J6</f>
        <v>50906</v>
      </c>
      <c r="I10" s="1025">
        <f>VP2!K6</f>
        <v>50906</v>
      </c>
      <c r="L10" s="724"/>
    </row>
    <row r="11" spans="1:12" s="505" customFormat="1" ht="12.75">
      <c r="A11" s="1060"/>
      <c r="B11" s="1027" t="s">
        <v>183</v>
      </c>
      <c r="C11" s="1025">
        <f>VP3!E6</f>
        <v>7633.790000000001</v>
      </c>
      <c r="D11" s="1025">
        <f>VP3!F6</f>
        <v>8303.03</v>
      </c>
      <c r="E11" s="1025">
        <f>VP3!G6</f>
        <v>8546.89</v>
      </c>
      <c r="F11" s="1025">
        <f>VP3!H6</f>
        <v>7415.95</v>
      </c>
      <c r="G11" s="1025">
        <f>VP3!I6</f>
        <v>7576.92</v>
      </c>
      <c r="H11" s="1025">
        <f>VP3!J6</f>
        <v>7576.92</v>
      </c>
      <c r="I11" s="1025">
        <f>VP3!K6</f>
        <v>7576.92</v>
      </c>
      <c r="L11" s="724"/>
    </row>
    <row r="12" spans="1:12" s="505" customFormat="1" ht="12.75">
      <c r="A12" s="1060"/>
      <c r="B12" s="1027" t="s">
        <v>184</v>
      </c>
      <c r="C12" s="1028">
        <f>VP4!E6</f>
        <v>14556.92</v>
      </c>
      <c r="D12" s="1028">
        <f>VP4!F6</f>
        <v>10501.610000000002</v>
      </c>
      <c r="E12" s="1028">
        <f>VP4!G6</f>
        <v>12379.32</v>
      </c>
      <c r="F12" s="1028">
        <f>VP4!H6</f>
        <v>18689.32</v>
      </c>
      <c r="G12" s="1028">
        <f>VP4!I6</f>
        <v>20003.690000000002</v>
      </c>
      <c r="H12" s="1028">
        <f>VP4!J6</f>
        <v>18353.69</v>
      </c>
      <c r="I12" s="1028">
        <f>VP4!K6</f>
        <v>18353.69</v>
      </c>
      <c r="L12" s="724"/>
    </row>
    <row r="13" spans="1:12" s="505" customFormat="1" ht="12.75">
      <c r="A13" s="1060"/>
      <c r="B13" s="1027" t="s">
        <v>185</v>
      </c>
      <c r="C13" s="1028">
        <f>VP5!E6</f>
        <v>108642.87000000001</v>
      </c>
      <c r="D13" s="1028">
        <f>VP5!F6</f>
        <v>121342</v>
      </c>
      <c r="E13" s="1028">
        <f>VP5!G6</f>
        <v>152271.6</v>
      </c>
      <c r="F13" s="1028">
        <f>VP5!H6</f>
        <v>150874.97999999998</v>
      </c>
      <c r="G13" s="1028">
        <f>VP5!I6</f>
        <v>159100.38</v>
      </c>
      <c r="H13" s="1028">
        <f>VP5!J6</f>
        <v>159668.644</v>
      </c>
      <c r="I13" s="1028">
        <f>VP5!K6</f>
        <v>159903.55592</v>
      </c>
      <c r="L13" s="724"/>
    </row>
    <row r="14" spans="1:12" s="505" customFormat="1" ht="12.75">
      <c r="A14" s="1060"/>
      <c r="B14" s="1029" t="s">
        <v>180</v>
      </c>
      <c r="C14" s="1030">
        <f>VP6!E6</f>
        <v>836.33</v>
      </c>
      <c r="D14" s="1030">
        <f>VP6!F6</f>
        <v>2313.6400000000003</v>
      </c>
      <c r="E14" s="1030">
        <f>VP6!G6</f>
        <v>3078.15</v>
      </c>
      <c r="F14" s="1030">
        <f>VP6!H6</f>
        <v>3082.47</v>
      </c>
      <c r="G14" s="1030">
        <f>VP6!I6</f>
        <v>3082.47</v>
      </c>
      <c r="H14" s="1030">
        <f>VP6!J6</f>
        <v>3082.47</v>
      </c>
      <c r="I14" s="1030">
        <f>VP6!K6</f>
        <v>3082.47</v>
      </c>
      <c r="L14" s="724"/>
    </row>
    <row r="15" spans="1:12" s="505" customFormat="1" ht="12.75">
      <c r="A15" s="1060"/>
      <c r="B15" s="1029" t="s">
        <v>186</v>
      </c>
      <c r="C15" s="1030">
        <f>VP7!E6</f>
        <v>767864.54</v>
      </c>
      <c r="D15" s="1030">
        <f>VP7!F6</f>
        <v>849988.6400000001</v>
      </c>
      <c r="E15" s="1030">
        <f>VP7!G6</f>
        <v>943990.42</v>
      </c>
      <c r="F15" s="1030">
        <f>VP7!H6</f>
        <v>1004110.96</v>
      </c>
      <c r="G15" s="1030">
        <f>VP7!I6</f>
        <v>1000756.9989999998</v>
      </c>
      <c r="H15" s="1030">
        <f>VP7!J6</f>
        <v>980428.9929999999</v>
      </c>
      <c r="I15" s="1030">
        <f>VP7!K6</f>
        <v>994904.9909999999</v>
      </c>
      <c r="L15" s="724"/>
    </row>
    <row r="16" spans="1:12" s="505" customFormat="1" ht="12.75">
      <c r="A16" s="1060"/>
      <c r="B16" s="1027" t="s">
        <v>187</v>
      </c>
      <c r="C16" s="1028">
        <f>VP8!E6</f>
        <v>50478.68</v>
      </c>
      <c r="D16" s="1028">
        <f>VP8!F6</f>
        <v>47825.89</v>
      </c>
      <c r="E16" s="1028">
        <f>VP8!G6</f>
        <v>38417.71</v>
      </c>
      <c r="F16" s="1028">
        <f>VP8!H6</f>
        <v>30946.02</v>
      </c>
      <c r="G16" s="1028">
        <f>VP8!I6</f>
        <v>50679</v>
      </c>
      <c r="H16" s="1028">
        <f>VP8!J6</f>
        <v>33614</v>
      </c>
      <c r="I16" s="1028">
        <f>VP8!K6</f>
        <v>33614</v>
      </c>
      <c r="L16" s="724"/>
    </row>
    <row r="17" spans="1:12" s="505" customFormat="1" ht="12.75">
      <c r="A17" s="1060"/>
      <c r="B17" s="1029" t="s">
        <v>188</v>
      </c>
      <c r="C17" s="1030">
        <f>VP9!E6</f>
        <v>112519.20000000001</v>
      </c>
      <c r="D17" s="1030">
        <f>VP9!F6</f>
        <v>106660.48000000003</v>
      </c>
      <c r="E17" s="1030">
        <f>VP9!G6</f>
        <v>137966.82</v>
      </c>
      <c r="F17" s="1030">
        <f>VP9!H6</f>
        <v>137528.53</v>
      </c>
      <c r="G17" s="1030">
        <f>VP9!I6</f>
        <v>143042.384</v>
      </c>
      <c r="H17" s="1030">
        <f>VP9!J6</f>
        <v>146544.41552</v>
      </c>
      <c r="I17" s="1030">
        <f>VP9!K6</f>
        <v>149651.5079856</v>
      </c>
      <c r="L17" s="724"/>
    </row>
    <row r="18" spans="1:12" s="505" customFormat="1" ht="12.75">
      <c r="A18" s="1060"/>
      <c r="B18" s="1027" t="s">
        <v>189</v>
      </c>
      <c r="C18" s="1028">
        <f>VP10!E6</f>
        <v>3900.58</v>
      </c>
      <c r="D18" s="1028">
        <f>VP10!F6</f>
        <v>3633.7400000000002</v>
      </c>
      <c r="E18" s="1028">
        <f>VP10!G6</f>
        <v>5706.75</v>
      </c>
      <c r="F18" s="1028">
        <f>VP10!H6</f>
        <v>1415</v>
      </c>
      <c r="G18" s="1028">
        <f>VP10!I6</f>
        <v>5150</v>
      </c>
      <c r="H18" s="1028">
        <f>VP10!J6</f>
        <v>5150</v>
      </c>
      <c r="I18" s="1028">
        <f>VP10!K6</f>
        <v>5150</v>
      </c>
      <c r="L18" s="724"/>
    </row>
    <row r="19" spans="1:12" s="505" customFormat="1" ht="13.5" thickBot="1">
      <c r="A19" s="1061"/>
      <c r="B19" s="1031" t="s">
        <v>190</v>
      </c>
      <c r="C19" s="1032">
        <f>VP11!E6</f>
        <v>164991.68999999997</v>
      </c>
      <c r="D19" s="1032">
        <f>VP11!F6</f>
        <v>220596.61</v>
      </c>
      <c r="E19" s="1032">
        <f>VP11!G6</f>
        <v>246224</v>
      </c>
      <c r="F19" s="1032">
        <f>VP11!H6</f>
        <v>229494.93</v>
      </c>
      <c r="G19" s="1032">
        <f>VP11!I6</f>
        <v>218144.44</v>
      </c>
      <c r="H19" s="1032">
        <f>VP11!J6</f>
        <v>220669.1632</v>
      </c>
      <c r="I19" s="1032">
        <f>VP11!K6</f>
        <v>225787.128096</v>
      </c>
      <c r="K19" s="755"/>
      <c r="L19" s="724"/>
    </row>
    <row r="20" spans="1:12" s="505" customFormat="1" ht="13.5" thickBot="1">
      <c r="A20" s="1062"/>
      <c r="B20" s="1033" t="s">
        <v>449</v>
      </c>
      <c r="C20" s="1034">
        <f>C5-C7</f>
        <v>81313.13000000012</v>
      </c>
      <c r="D20" s="1034">
        <f aca="true" t="shared" si="0" ref="D20:I20">D5-D7</f>
        <v>117560</v>
      </c>
      <c r="E20" s="1034">
        <f t="shared" si="0"/>
        <v>26031.85999999987</v>
      </c>
      <c r="F20" s="1034">
        <f t="shared" si="0"/>
        <v>32267.440000000177</v>
      </c>
      <c r="G20" s="1034">
        <f t="shared" si="0"/>
        <v>29154.657000000123</v>
      </c>
      <c r="H20" s="1034">
        <f t="shared" si="0"/>
        <v>50102.64427999989</v>
      </c>
      <c r="I20" s="1034">
        <f t="shared" si="0"/>
        <v>77166.6769983999</v>
      </c>
      <c r="L20" s="724"/>
    </row>
    <row r="21" spans="1:9" s="505" customFormat="1" ht="12.75">
      <c r="A21" s="1059"/>
      <c r="B21" s="1066" t="s">
        <v>69</v>
      </c>
      <c r="C21" s="1021">
        <f>KP!F6</f>
        <v>72519.9</v>
      </c>
      <c r="D21" s="1021">
        <f>KP!G16</f>
        <v>24953.35</v>
      </c>
      <c r="E21" s="1021">
        <f>KP!H16</f>
        <v>397190</v>
      </c>
      <c r="F21" s="1021">
        <f>KP!I16</f>
        <v>40468</v>
      </c>
      <c r="G21" s="1021">
        <f>KP!J16</f>
        <v>617190</v>
      </c>
      <c r="H21" s="1021">
        <f>KP!K16</f>
        <v>1000</v>
      </c>
      <c r="I21" s="1021">
        <f>KP!L16</f>
        <v>1000</v>
      </c>
    </row>
    <row r="22" spans="1:9" s="505" customFormat="1" ht="12.75">
      <c r="A22" s="1060"/>
      <c r="B22" s="1067" t="s">
        <v>70</v>
      </c>
      <c r="C22" s="1023">
        <f>SUM(C24:C34)</f>
        <v>208972.60999999996</v>
      </c>
      <c r="D22" s="1023">
        <f aca="true" t="shared" si="1" ref="D22:I22">SUM(D24:D34)</f>
        <v>122392.6</v>
      </c>
      <c r="E22" s="1023">
        <f t="shared" si="1"/>
        <v>459194</v>
      </c>
      <c r="F22" s="1023">
        <f t="shared" si="1"/>
        <v>66853.36</v>
      </c>
      <c r="G22" s="1023">
        <f t="shared" si="1"/>
        <v>669194</v>
      </c>
      <c r="H22" s="1023">
        <f t="shared" si="1"/>
        <v>0</v>
      </c>
      <c r="I22" s="1023">
        <f t="shared" si="1"/>
        <v>0</v>
      </c>
    </row>
    <row r="23" spans="1:9" s="505" customFormat="1" ht="12.75">
      <c r="A23" s="1060"/>
      <c r="B23" s="1024" t="s">
        <v>73</v>
      </c>
      <c r="C23" s="1035"/>
      <c r="D23" s="1035"/>
      <c r="E23" s="1035"/>
      <c r="F23" s="1035"/>
      <c r="G23" s="1035"/>
      <c r="H23" s="1035"/>
      <c r="I23" s="1035"/>
    </row>
    <row r="24" spans="1:9" s="505" customFormat="1" ht="12.75">
      <c r="A24" s="1060"/>
      <c r="B24" s="1026" t="s">
        <v>181</v>
      </c>
      <c r="C24" s="1025">
        <v>0</v>
      </c>
      <c r="D24" s="1025">
        <v>0</v>
      </c>
      <c r="E24" s="1025">
        <v>0</v>
      </c>
      <c r="F24" s="1025">
        <v>0</v>
      </c>
      <c r="G24" s="1025">
        <v>0</v>
      </c>
      <c r="H24" s="1025">
        <v>0</v>
      </c>
      <c r="I24" s="1025">
        <v>0</v>
      </c>
    </row>
    <row r="25" spans="1:9" s="505" customFormat="1" ht="12.75">
      <c r="A25" s="1060"/>
      <c r="B25" s="1027" t="s">
        <v>182</v>
      </c>
      <c r="C25" s="1028">
        <f>VP2!E57</f>
        <v>155767.75999999998</v>
      </c>
      <c r="D25" s="1028">
        <f>VP2!F57</f>
        <v>10880</v>
      </c>
      <c r="E25" s="1028">
        <f>VP2!G57</f>
        <v>442994</v>
      </c>
      <c r="F25" s="1028">
        <f>VP2!H57</f>
        <v>45284</v>
      </c>
      <c r="G25" s="1028">
        <f>VP2!I57</f>
        <v>647994</v>
      </c>
      <c r="H25" s="1028">
        <f>VP2!J57</f>
        <v>0</v>
      </c>
      <c r="I25" s="1028">
        <f>VP2!K57</f>
        <v>0</v>
      </c>
    </row>
    <row r="26" spans="1:9" s="505" customFormat="1" ht="12.75">
      <c r="A26" s="1060"/>
      <c r="B26" s="1027" t="s">
        <v>183</v>
      </c>
      <c r="C26" s="1028">
        <f>VP3!E36</f>
        <v>910</v>
      </c>
      <c r="D26" s="1028">
        <f>VP3!F36</f>
        <v>0</v>
      </c>
      <c r="E26" s="1028">
        <v>0</v>
      </c>
      <c r="F26" s="1028">
        <f>VP3!H36</f>
        <v>2200</v>
      </c>
      <c r="G26" s="1028">
        <f>VP3!I36</f>
        <v>0</v>
      </c>
      <c r="H26" s="1028">
        <f>VP3!J36</f>
        <v>0</v>
      </c>
      <c r="I26" s="1028">
        <f>VP3!K36</f>
        <v>0</v>
      </c>
    </row>
    <row r="27" spans="1:9" s="505" customFormat="1" ht="12.75">
      <c r="A27" s="1060"/>
      <c r="B27" s="1027" t="s">
        <v>184</v>
      </c>
      <c r="C27" s="1028">
        <f>VP4!E47</f>
        <v>46008.83</v>
      </c>
      <c r="D27" s="1028">
        <f>VP4!F47</f>
        <v>6528</v>
      </c>
      <c r="E27" s="1028">
        <v>0</v>
      </c>
      <c r="F27" s="1028">
        <f>VP4!H47</f>
        <v>3009.36</v>
      </c>
      <c r="G27" s="1028">
        <f>VP4!I47</f>
        <v>0</v>
      </c>
      <c r="H27" s="1028">
        <f>VP4!J47</f>
        <v>0</v>
      </c>
      <c r="I27" s="1028">
        <f>VP4!K47</f>
        <v>0</v>
      </c>
    </row>
    <row r="28" spans="1:9" s="505" customFormat="1" ht="12.75">
      <c r="A28" s="1060"/>
      <c r="B28" s="1027" t="s">
        <v>185</v>
      </c>
      <c r="C28" s="1028">
        <f>VP5!E33</f>
        <v>0</v>
      </c>
      <c r="D28" s="1028">
        <f>VP5!F33</f>
        <v>4005.6</v>
      </c>
      <c r="E28" s="1028">
        <f>VP5!G33</f>
        <v>0</v>
      </c>
      <c r="F28" s="1028">
        <f>VP5!H33</f>
        <v>15360</v>
      </c>
      <c r="G28" s="1028">
        <f>VP5!I33</f>
        <v>0</v>
      </c>
      <c r="H28" s="1028">
        <f>VP5!J33</f>
        <v>0</v>
      </c>
      <c r="I28" s="1028">
        <f>VP5!K33</f>
        <v>0</v>
      </c>
    </row>
    <row r="29" spans="1:9" s="505" customFormat="1" ht="12.75">
      <c r="A29" s="1060"/>
      <c r="B29" s="1029" t="s">
        <v>180</v>
      </c>
      <c r="C29" s="1028">
        <v>0</v>
      </c>
      <c r="D29" s="1028">
        <v>0</v>
      </c>
      <c r="E29" s="1028">
        <v>0</v>
      </c>
      <c r="F29" s="1028">
        <v>0</v>
      </c>
      <c r="G29" s="1028">
        <v>0</v>
      </c>
      <c r="H29" s="1028">
        <v>0</v>
      </c>
      <c r="I29" s="1028">
        <v>0</v>
      </c>
    </row>
    <row r="30" spans="1:9" s="505" customFormat="1" ht="12.75">
      <c r="A30" s="1060"/>
      <c r="B30" s="1029" t="s">
        <v>186</v>
      </c>
      <c r="C30" s="1028">
        <f>VP7!E60</f>
        <v>6286.02</v>
      </c>
      <c r="D30" s="1028">
        <f>VP7!F60</f>
        <v>10923</v>
      </c>
      <c r="E30" s="1028">
        <f>VP7!G60</f>
        <v>16200</v>
      </c>
      <c r="F30" s="1028">
        <f>VP7!H60</f>
        <v>0</v>
      </c>
      <c r="G30" s="1028">
        <f>VP7!I60</f>
        <v>16200</v>
      </c>
      <c r="H30" s="1028">
        <v>0</v>
      </c>
      <c r="I30" s="1028">
        <v>0</v>
      </c>
    </row>
    <row r="31" spans="1:9" s="505" customFormat="1" ht="12.75">
      <c r="A31" s="1060"/>
      <c r="B31" s="1027" t="s">
        <v>187</v>
      </c>
      <c r="C31" s="1028">
        <v>0</v>
      </c>
      <c r="D31" s="1028">
        <f>VP8!F49</f>
        <v>90056</v>
      </c>
      <c r="E31" s="1028">
        <f>VP8!G49</f>
        <v>0</v>
      </c>
      <c r="F31" s="1028">
        <f>VP8!H49</f>
        <v>1000</v>
      </c>
      <c r="G31" s="1028">
        <f>VP8!I49</f>
        <v>5000</v>
      </c>
      <c r="H31" s="1028">
        <f>VP8!J49</f>
        <v>0</v>
      </c>
      <c r="I31" s="1028">
        <f>VP8!K49</f>
        <v>0</v>
      </c>
    </row>
    <row r="32" spans="1:9" s="505" customFormat="1" ht="12.75">
      <c r="A32" s="1060"/>
      <c r="B32" s="1029" t="s">
        <v>188</v>
      </c>
      <c r="C32" s="1028">
        <v>0</v>
      </c>
      <c r="D32" s="1028">
        <v>0</v>
      </c>
      <c r="E32" s="1028">
        <v>0</v>
      </c>
      <c r="F32" s="1028">
        <v>0</v>
      </c>
      <c r="G32" s="1028">
        <v>0</v>
      </c>
      <c r="H32" s="1028">
        <v>0</v>
      </c>
      <c r="I32" s="1028">
        <v>0</v>
      </c>
    </row>
    <row r="33" spans="1:9" s="505" customFormat="1" ht="12.75">
      <c r="A33" s="1060"/>
      <c r="B33" s="1027" t="s">
        <v>189</v>
      </c>
      <c r="C33" s="1025">
        <v>0</v>
      </c>
      <c r="D33" s="1025">
        <v>0</v>
      </c>
      <c r="E33" s="1025">
        <v>0</v>
      </c>
      <c r="F33" s="1025">
        <v>0</v>
      </c>
      <c r="G33" s="1025">
        <v>0</v>
      </c>
      <c r="H33" s="1025">
        <v>0</v>
      </c>
      <c r="I33" s="1025">
        <v>0</v>
      </c>
    </row>
    <row r="34" spans="1:9" s="505" customFormat="1" ht="13.5" thickBot="1">
      <c r="A34" s="1061"/>
      <c r="B34" s="1031" t="s">
        <v>190</v>
      </c>
      <c r="C34" s="1036">
        <f>VP11!E54</f>
        <v>0</v>
      </c>
      <c r="D34" s="1036">
        <f>VP11!F54</f>
        <v>0</v>
      </c>
      <c r="E34" s="1036">
        <v>0</v>
      </c>
      <c r="F34" s="1036">
        <v>0</v>
      </c>
      <c r="G34" s="1036">
        <v>0</v>
      </c>
      <c r="H34" s="1036">
        <v>0</v>
      </c>
      <c r="I34" s="1036">
        <v>0</v>
      </c>
    </row>
    <row r="35" spans="1:9" s="505" customFormat="1" ht="13.5" thickBot="1">
      <c r="A35" s="1062"/>
      <c r="B35" s="1033" t="s">
        <v>448</v>
      </c>
      <c r="C35" s="1034">
        <f>C21-C22</f>
        <v>-136452.70999999996</v>
      </c>
      <c r="D35" s="1034">
        <f aca="true" t="shared" si="2" ref="D35:I35">D21-D22</f>
        <v>-97439.25</v>
      </c>
      <c r="E35" s="1034">
        <f t="shared" si="2"/>
        <v>-62004</v>
      </c>
      <c r="F35" s="1034">
        <f t="shared" si="2"/>
        <v>-26385.36</v>
      </c>
      <c r="G35" s="1034">
        <f t="shared" si="2"/>
        <v>-52004</v>
      </c>
      <c r="H35" s="1034">
        <f t="shared" si="2"/>
        <v>1000</v>
      </c>
      <c r="I35" s="1034">
        <f t="shared" si="2"/>
        <v>1000</v>
      </c>
    </row>
    <row r="36" spans="1:9" s="505" customFormat="1" ht="12.75">
      <c r="A36" s="1059"/>
      <c r="B36" s="1037" t="s">
        <v>361</v>
      </c>
      <c r="C36" s="1038">
        <f aca="true" t="shared" si="3" ref="C36:I36">C5+C21-C37</f>
        <v>1363319.3900000001</v>
      </c>
      <c r="D36" s="1038">
        <f t="shared" si="3"/>
        <v>1495671.77</v>
      </c>
      <c r="E36" s="1038">
        <f t="shared" si="3"/>
        <v>1913695.27</v>
      </c>
      <c r="F36" s="1038">
        <f t="shared" si="3"/>
        <v>1604812.08</v>
      </c>
      <c r="G36" s="1038">
        <f t="shared" si="3"/>
        <v>2214115.94</v>
      </c>
      <c r="H36" s="1038">
        <f t="shared" si="3"/>
        <v>1578288.94</v>
      </c>
      <c r="I36" s="1038">
        <f t="shared" si="3"/>
        <v>1628288.94</v>
      </c>
    </row>
    <row r="37" spans="1:9" s="505" customFormat="1" ht="12.75">
      <c r="A37" s="1059"/>
      <c r="B37" s="1039" t="s">
        <v>357</v>
      </c>
      <c r="C37" s="1035">
        <f aca="true" t="shared" si="4" ref="C37:I37">C6</f>
        <v>86691.25</v>
      </c>
      <c r="D37" s="1035">
        <f t="shared" si="4"/>
        <v>72437.40000000001</v>
      </c>
      <c r="E37" s="1035">
        <f t="shared" si="4"/>
        <v>114599.25</v>
      </c>
      <c r="F37" s="1035">
        <f t="shared" si="4"/>
        <v>128933.08</v>
      </c>
      <c r="G37" s="1035">
        <f t="shared" si="4"/>
        <v>97621</v>
      </c>
      <c r="H37" s="1035">
        <f t="shared" si="4"/>
        <v>105758</v>
      </c>
      <c r="I37" s="1035">
        <f t="shared" si="4"/>
        <v>105758</v>
      </c>
    </row>
    <row r="38" spans="1:11" s="505" customFormat="1" ht="12.75">
      <c r="A38" s="1060"/>
      <c r="B38" s="1039" t="s">
        <v>362</v>
      </c>
      <c r="C38" s="1035">
        <f aca="true" t="shared" si="5" ref="C38:I38">C9+C10+C11+C12+C13+C14+C16+C17+C18+C19+C22</f>
        <v>737285.68</v>
      </c>
      <c r="D38" s="1035">
        <f>D9+D10+D11+D12+D13+D14+D16+D17+D18+D19+D22+618.13</f>
        <v>698617.91</v>
      </c>
      <c r="E38" s="1035">
        <f>E9+E10+E11+E12+E13+E14+E16+E17+E18+E19+E22+0.01</f>
        <v>1120276.25</v>
      </c>
      <c r="F38" s="1035">
        <f t="shared" si="5"/>
        <v>723752.12</v>
      </c>
      <c r="G38" s="1035">
        <f t="shared" si="5"/>
        <v>1333829.284</v>
      </c>
      <c r="H38" s="1035">
        <f t="shared" si="5"/>
        <v>652515.30272</v>
      </c>
      <c r="I38" s="1035">
        <f t="shared" si="5"/>
        <v>660975.2720016001</v>
      </c>
      <c r="K38" s="755"/>
    </row>
    <row r="39" spans="1:9" s="505" customFormat="1" ht="12.75">
      <c r="A39" s="1060"/>
      <c r="B39" s="1040" t="s">
        <v>358</v>
      </c>
      <c r="C39" s="1041">
        <f aca="true" t="shared" si="6" ref="C39:I39">C15</f>
        <v>767864.54</v>
      </c>
      <c r="D39" s="1041">
        <f>D15-618.13</f>
        <v>849370.5100000001</v>
      </c>
      <c r="E39" s="1041">
        <f t="shared" si="6"/>
        <v>943990.42</v>
      </c>
      <c r="F39" s="1041">
        <f t="shared" si="6"/>
        <v>1004110.96</v>
      </c>
      <c r="G39" s="1041">
        <f t="shared" si="6"/>
        <v>1000756.9989999998</v>
      </c>
      <c r="H39" s="1041">
        <f t="shared" si="6"/>
        <v>980428.9929999999</v>
      </c>
      <c r="I39" s="1041">
        <f t="shared" si="6"/>
        <v>994904.9909999999</v>
      </c>
    </row>
    <row r="40" spans="1:9" s="505" customFormat="1" ht="13.5" thickBot="1">
      <c r="A40" s="1063"/>
      <c r="B40" s="1042" t="s">
        <v>282</v>
      </c>
      <c r="C40" s="1043">
        <f>C36+C37-C38-C39</f>
        <v>-55139.57999999996</v>
      </c>
      <c r="D40" s="1043">
        <f aca="true" t="shared" si="7" ref="D40:I40">D36+D37-D38-D39</f>
        <v>20120.749999999767</v>
      </c>
      <c r="E40" s="1043">
        <f t="shared" si="7"/>
        <v>-35972.15000000002</v>
      </c>
      <c r="F40" s="1043">
        <f t="shared" si="7"/>
        <v>5882.080000000191</v>
      </c>
      <c r="G40" s="1043">
        <f t="shared" si="7"/>
        <v>-22849.342999999877</v>
      </c>
      <c r="H40" s="1043">
        <f t="shared" si="7"/>
        <v>51102.64428000001</v>
      </c>
      <c r="I40" s="1043">
        <f t="shared" si="7"/>
        <v>78166.6769983999</v>
      </c>
    </row>
    <row r="41" spans="1:9" s="505" customFormat="1" ht="14.25" thickBot="1" thickTop="1">
      <c r="A41" s="1064"/>
      <c r="B41" s="1044" t="s">
        <v>489</v>
      </c>
      <c r="C41" s="1045">
        <f aca="true" t="shared" si="8" ref="C41:I41">C42-C50</f>
        <v>111791.72</v>
      </c>
      <c r="D41" s="1045">
        <f t="shared" si="8"/>
        <v>77715.8</v>
      </c>
      <c r="E41" s="1045">
        <f t="shared" si="8"/>
        <v>35972.15</v>
      </c>
      <c r="F41" s="1045">
        <f t="shared" si="8"/>
        <v>-2476.4400000000005</v>
      </c>
      <c r="G41" s="1045">
        <f t="shared" si="8"/>
        <v>28277.339999999997</v>
      </c>
      <c r="H41" s="1045">
        <f t="shared" si="8"/>
        <v>-7000</v>
      </c>
      <c r="I41" s="1045">
        <f t="shared" si="8"/>
        <v>-7000</v>
      </c>
    </row>
    <row r="42" spans="1:9" s="505" customFormat="1" ht="13.5" thickTop="1">
      <c r="A42" s="1059"/>
      <c r="B42" s="1046" t="s">
        <v>71</v>
      </c>
      <c r="C42" s="1047">
        <f aca="true" t="shared" si="9" ref="C42:I42">SUM(C43:C49)</f>
        <v>130612.25</v>
      </c>
      <c r="D42" s="1047">
        <f t="shared" si="9"/>
        <v>84762.16</v>
      </c>
      <c r="E42" s="1047">
        <f t="shared" si="9"/>
        <v>53012.15</v>
      </c>
      <c r="F42" s="1047">
        <f t="shared" si="9"/>
        <v>14563.56</v>
      </c>
      <c r="G42" s="1047">
        <f t="shared" si="9"/>
        <v>35317.34</v>
      </c>
      <c r="H42" s="1047">
        <f t="shared" si="9"/>
        <v>40</v>
      </c>
      <c r="I42" s="1047">
        <f t="shared" si="9"/>
        <v>40</v>
      </c>
    </row>
    <row r="43" spans="1:9" s="505" customFormat="1" ht="12.75">
      <c r="A43" s="1059"/>
      <c r="B43" s="1048" t="s">
        <v>607</v>
      </c>
      <c r="C43" s="1028">
        <v>0</v>
      </c>
      <c r="D43" s="1028">
        <v>0</v>
      </c>
      <c r="E43" s="1028">
        <v>0</v>
      </c>
      <c r="F43" s="1028">
        <v>0</v>
      </c>
      <c r="G43" s="1028">
        <v>0</v>
      </c>
      <c r="H43" s="1028">
        <v>0</v>
      </c>
      <c r="I43" s="1028">
        <v>0</v>
      </c>
    </row>
    <row r="44" spans="1:9" s="505" customFormat="1" ht="12.75">
      <c r="A44" s="1059"/>
      <c r="B44" s="1048" t="s">
        <v>436</v>
      </c>
      <c r="C44" s="1028">
        <v>2509.44</v>
      </c>
      <c r="D44" s="1028">
        <v>0</v>
      </c>
      <c r="E44" s="1028">
        <v>0</v>
      </c>
      <c r="F44" s="1028">
        <v>0</v>
      </c>
      <c r="G44" s="1028">
        <v>0</v>
      </c>
      <c r="H44" s="1028">
        <v>0</v>
      </c>
      <c r="I44" s="1028">
        <v>0</v>
      </c>
    </row>
    <row r="45" spans="1:9" s="505" customFormat="1" ht="16.5">
      <c r="A45" s="1059"/>
      <c r="B45" s="1049" t="s">
        <v>371</v>
      </c>
      <c r="C45" s="1028">
        <v>0</v>
      </c>
      <c r="D45" s="1028">
        <v>0</v>
      </c>
      <c r="E45" s="1028">
        <v>0</v>
      </c>
      <c r="F45" s="1028">
        <v>0</v>
      </c>
      <c r="G45" s="1028">
        <v>0</v>
      </c>
      <c r="H45" s="1028">
        <v>0</v>
      </c>
      <c r="I45" s="1028">
        <v>0</v>
      </c>
    </row>
    <row r="46" spans="1:9" s="505" customFormat="1" ht="12.75">
      <c r="A46" s="1059"/>
      <c r="B46" s="1049" t="s">
        <v>490</v>
      </c>
      <c r="C46" s="1028">
        <v>0</v>
      </c>
      <c r="D46" s="1028">
        <v>0</v>
      </c>
      <c r="E46" s="1028">
        <v>40</v>
      </c>
      <c r="F46" s="1028">
        <v>40</v>
      </c>
      <c r="G46" s="1028">
        <v>40</v>
      </c>
      <c r="H46" s="1028">
        <v>40</v>
      </c>
      <c r="I46" s="1028">
        <v>40</v>
      </c>
    </row>
    <row r="47" spans="1:9" s="505" customFormat="1" ht="12.75">
      <c r="A47" s="1059"/>
      <c r="B47" s="1048" t="s">
        <v>347</v>
      </c>
      <c r="C47" s="1028">
        <v>1120.57</v>
      </c>
      <c r="D47" s="1028">
        <v>830.45</v>
      </c>
      <c r="E47" s="1028">
        <v>0</v>
      </c>
      <c r="F47" s="1028">
        <v>12643.56</v>
      </c>
      <c r="G47" s="1028">
        <v>0</v>
      </c>
      <c r="H47" s="1028">
        <v>0</v>
      </c>
      <c r="I47" s="1028">
        <v>0</v>
      </c>
    </row>
    <row r="48" spans="1:9" s="505" customFormat="1" ht="12.75">
      <c r="A48" s="1059"/>
      <c r="B48" s="1048" t="s">
        <v>447</v>
      </c>
      <c r="C48" s="1028">
        <v>0</v>
      </c>
      <c r="D48" s="1028">
        <v>968.11</v>
      </c>
      <c r="E48" s="1028">
        <v>0</v>
      </c>
      <c r="F48" s="1028">
        <v>1241.89</v>
      </c>
      <c r="G48" s="1028">
        <v>0</v>
      </c>
      <c r="H48" s="1028">
        <v>0</v>
      </c>
      <c r="I48" s="1028">
        <v>0</v>
      </c>
    </row>
    <row r="49" spans="1:9" s="505" customFormat="1" ht="12.75">
      <c r="A49" s="1059"/>
      <c r="B49" s="1048" t="s">
        <v>535</v>
      </c>
      <c r="C49" s="1028">
        <v>126982.24</v>
      </c>
      <c r="D49" s="1028">
        <v>82963.6</v>
      </c>
      <c r="E49" s="1028">
        <v>52972.15</v>
      </c>
      <c r="F49" s="1028">
        <v>638.11</v>
      </c>
      <c r="G49" s="1028">
        <f>3473.34+15000+10000+6804</f>
        <v>35277.34</v>
      </c>
      <c r="H49" s="1028">
        <v>0</v>
      </c>
      <c r="I49" s="1028">
        <v>0</v>
      </c>
    </row>
    <row r="50" spans="1:9" s="505" customFormat="1" ht="12.75">
      <c r="A50" s="1059"/>
      <c r="B50" s="1046" t="s">
        <v>72</v>
      </c>
      <c r="C50" s="1023">
        <f>SUM(C51:C56)</f>
        <v>18820.53</v>
      </c>
      <c r="D50" s="1023">
        <f aca="true" t="shared" si="10" ref="D50:I50">D51+D52+D53+D54+D56</f>
        <v>7046.36</v>
      </c>
      <c r="E50" s="1023">
        <f>SUM(E51:E56)</f>
        <v>17040</v>
      </c>
      <c r="F50" s="1023">
        <f>SUM(F51:F56)</f>
        <v>17040</v>
      </c>
      <c r="G50" s="1023">
        <f>G51+G52+G53+G54+G56+G55</f>
        <v>7040</v>
      </c>
      <c r="H50" s="1023">
        <f t="shared" si="10"/>
        <v>7040</v>
      </c>
      <c r="I50" s="1023">
        <f t="shared" si="10"/>
        <v>7040</v>
      </c>
    </row>
    <row r="51" spans="1:10" s="505" customFormat="1" ht="12.75">
      <c r="A51" s="1059"/>
      <c r="B51" s="1048" t="s">
        <v>359</v>
      </c>
      <c r="C51" s="1028">
        <v>11861.04</v>
      </c>
      <c r="D51" s="1028">
        <v>0</v>
      </c>
      <c r="E51" s="1028">
        <v>0</v>
      </c>
      <c r="F51" s="1028">
        <v>0</v>
      </c>
      <c r="G51" s="1028">
        <v>0</v>
      </c>
      <c r="H51" s="1028">
        <v>0</v>
      </c>
      <c r="I51" s="1028">
        <v>0</v>
      </c>
      <c r="J51" s="722"/>
    </row>
    <row r="52" spans="1:9" s="505" customFormat="1" ht="12.75">
      <c r="A52" s="1059"/>
      <c r="B52" s="1024" t="s">
        <v>215</v>
      </c>
      <c r="C52" s="1025">
        <v>6959.49</v>
      </c>
      <c r="D52" s="1025">
        <v>7046.36</v>
      </c>
      <c r="E52" s="1025">
        <v>7000</v>
      </c>
      <c r="F52" s="1025">
        <v>7000</v>
      </c>
      <c r="G52" s="1025">
        <v>7000</v>
      </c>
      <c r="H52" s="1025">
        <v>7000</v>
      </c>
      <c r="I52" s="1025">
        <v>7000</v>
      </c>
    </row>
    <row r="53" spans="1:9" s="505" customFormat="1" ht="12.75">
      <c r="A53" s="1059"/>
      <c r="B53" s="1024" t="s">
        <v>364</v>
      </c>
      <c r="C53" s="1025">
        <v>0</v>
      </c>
      <c r="D53" s="1025">
        <v>0</v>
      </c>
      <c r="E53" s="1025">
        <v>0</v>
      </c>
      <c r="F53" s="1025">
        <v>0</v>
      </c>
      <c r="G53" s="1025">
        <v>0</v>
      </c>
      <c r="H53" s="1025">
        <v>0</v>
      </c>
      <c r="I53" s="1025">
        <v>0</v>
      </c>
    </row>
    <row r="54" spans="1:9" s="505" customFormat="1" ht="12.75">
      <c r="A54" s="1059"/>
      <c r="B54" s="1050" t="s">
        <v>392</v>
      </c>
      <c r="C54" s="1025">
        <v>0</v>
      </c>
      <c r="D54" s="1025">
        <v>0</v>
      </c>
      <c r="E54" s="1025">
        <v>0</v>
      </c>
      <c r="F54" s="1025">
        <v>0</v>
      </c>
      <c r="G54" s="1025">
        <v>0</v>
      </c>
      <c r="H54" s="1025">
        <v>0</v>
      </c>
      <c r="I54" s="1025">
        <v>0</v>
      </c>
    </row>
    <row r="55" spans="1:9" s="505" customFormat="1" ht="12.75">
      <c r="A55" s="1063"/>
      <c r="B55" s="1090" t="s">
        <v>531</v>
      </c>
      <c r="C55" s="1036">
        <v>0</v>
      </c>
      <c r="D55" s="1036">
        <v>0</v>
      </c>
      <c r="E55" s="1036">
        <v>10000</v>
      </c>
      <c r="F55" s="1036">
        <v>10000</v>
      </c>
      <c r="G55" s="1036">
        <v>0</v>
      </c>
      <c r="H55" s="1036">
        <v>0</v>
      </c>
      <c r="I55" s="1036">
        <v>0</v>
      </c>
    </row>
    <row r="56" spans="1:9" s="505" customFormat="1" ht="13.5" thickBot="1">
      <c r="A56" s="1065"/>
      <c r="B56" s="1051" t="s">
        <v>491</v>
      </c>
      <c r="C56" s="1052">
        <v>0</v>
      </c>
      <c r="D56" s="1052">
        <v>0</v>
      </c>
      <c r="E56" s="1052">
        <v>40</v>
      </c>
      <c r="F56" s="1052">
        <v>40</v>
      </c>
      <c r="G56" s="1052">
        <v>40</v>
      </c>
      <c r="H56" s="1052">
        <v>40</v>
      </c>
      <c r="I56" s="1052">
        <v>40</v>
      </c>
    </row>
    <row r="57" spans="1:9" s="505" customFormat="1" ht="14.25" thickBot="1" thickTop="1">
      <c r="A57" s="1122"/>
      <c r="B57" s="1124" t="s">
        <v>4</v>
      </c>
      <c r="C57" s="1123">
        <f aca="true" t="shared" si="11" ref="C57:I57">C40+C41</f>
        <v>56652.14000000004</v>
      </c>
      <c r="D57" s="1123">
        <f t="shared" si="11"/>
        <v>97836.54999999977</v>
      </c>
      <c r="E57" s="1123">
        <f t="shared" si="11"/>
        <v>0</v>
      </c>
      <c r="F57" s="1123">
        <f t="shared" si="11"/>
        <v>3405.6400000001904</v>
      </c>
      <c r="G57" s="1123">
        <f t="shared" si="11"/>
        <v>5427.997000000119</v>
      </c>
      <c r="H57" s="1123">
        <f t="shared" si="11"/>
        <v>44102.64428000001</v>
      </c>
      <c r="I57" s="1123">
        <f t="shared" si="11"/>
        <v>71166.6769983999</v>
      </c>
    </row>
    <row r="58" spans="1:9" s="505" customFormat="1" ht="14.25" thickBot="1" thickTop="1">
      <c r="A58" s="1109"/>
      <c r="B58" s="1110" t="s">
        <v>543</v>
      </c>
      <c r="C58" s="1111">
        <v>192.32</v>
      </c>
      <c r="D58" s="1111">
        <v>-3765.03</v>
      </c>
      <c r="E58" s="1111"/>
      <c r="F58" s="1111"/>
      <c r="G58" s="1111"/>
      <c r="H58" s="1111"/>
      <c r="I58" s="1111"/>
    </row>
    <row r="59" spans="1:9" s="505" customFormat="1" ht="14.25" thickBot="1" thickTop="1">
      <c r="A59" s="1103"/>
      <c r="B59" s="1105" t="s">
        <v>542</v>
      </c>
      <c r="C59" s="1104">
        <v>1798.56</v>
      </c>
      <c r="D59" s="1104">
        <v>21727.45</v>
      </c>
      <c r="E59" s="1104"/>
      <c r="F59" s="1104"/>
      <c r="G59" s="1104"/>
      <c r="H59" s="1104"/>
      <c r="I59" s="1104"/>
    </row>
    <row r="60" spans="1:9" s="505" customFormat="1" ht="14.25" thickBot="1" thickTop="1">
      <c r="A60" s="1107"/>
      <c r="B60" s="1106" t="s">
        <v>541</v>
      </c>
      <c r="C60" s="1108">
        <f>C57+C58-C59</f>
        <v>55045.900000000045</v>
      </c>
      <c r="D60" s="1108">
        <f>D57+D58-D59</f>
        <v>72344.06999999977</v>
      </c>
      <c r="E60" s="1101"/>
      <c r="F60" s="1101"/>
      <c r="G60" s="1101"/>
      <c r="H60" s="1101"/>
      <c r="I60" s="1101"/>
    </row>
    <row r="61" spans="1:2" ht="13.5" thickTop="1">
      <c r="A61" s="8" t="s">
        <v>636</v>
      </c>
      <c r="B61" s="8"/>
    </row>
    <row r="62" spans="1:2" ht="12.75">
      <c r="A62" s="72" t="s">
        <v>655</v>
      </c>
      <c r="B62" s="1100"/>
    </row>
    <row r="63" spans="1:2" ht="12.75">
      <c r="A63" s="8" t="s">
        <v>402</v>
      </c>
      <c r="B63" s="8"/>
    </row>
    <row r="65" spans="2:4" ht="12.75">
      <c r="B65" s="8"/>
      <c r="C65" s="118"/>
      <c r="D65" s="118"/>
    </row>
    <row r="66" ht="12.75">
      <c r="B66" s="1139" t="s">
        <v>594</v>
      </c>
    </row>
    <row r="67" ht="12.75">
      <c r="B67" s="1139" t="s">
        <v>595</v>
      </c>
    </row>
    <row r="68" ht="12.75">
      <c r="B68" s="1139" t="s">
        <v>596</v>
      </c>
    </row>
    <row r="70" spans="3:8" ht="13.5" thickBot="1">
      <c r="C70" s="1139" t="s">
        <v>600</v>
      </c>
      <c r="D70" s="1139"/>
      <c r="E70" s="1139"/>
      <c r="F70" s="1139"/>
      <c r="G70" s="1139"/>
      <c r="H70" s="1139"/>
    </row>
    <row r="71" spans="3:9" ht="13.5" thickBot="1">
      <c r="C71" s="1160" t="s">
        <v>601</v>
      </c>
      <c r="D71" s="1157"/>
      <c r="E71" s="1139"/>
      <c r="F71" s="1139"/>
      <c r="G71" s="1139"/>
      <c r="H71" s="1139"/>
      <c r="I71" s="1169"/>
    </row>
    <row r="72" spans="3:9" ht="12.75">
      <c r="C72" s="1186">
        <v>10000</v>
      </c>
      <c r="D72" s="1162" t="s">
        <v>618</v>
      </c>
      <c r="E72" s="1162"/>
      <c r="F72" s="1162"/>
      <c r="G72" s="1162"/>
      <c r="H72" s="1163"/>
      <c r="I72" s="1177"/>
    </row>
    <row r="73" spans="3:9" ht="12.75">
      <c r="C73" s="1187">
        <v>15000</v>
      </c>
      <c r="D73" s="1146" t="s">
        <v>619</v>
      </c>
      <c r="E73" s="1146"/>
      <c r="F73" s="1146"/>
      <c r="G73" s="1146"/>
      <c r="H73" s="1179"/>
      <c r="I73" s="1177"/>
    </row>
    <row r="74" spans="3:9" ht="12.75">
      <c r="C74" s="1187">
        <v>5000</v>
      </c>
      <c r="D74" s="1178" t="s">
        <v>637</v>
      </c>
      <c r="E74" s="1178"/>
      <c r="F74" s="1178"/>
      <c r="G74" s="1178"/>
      <c r="H74" s="1180"/>
      <c r="I74" s="1177"/>
    </row>
    <row r="75" spans="3:9" ht="12.75">
      <c r="C75" s="1187">
        <v>3473.34</v>
      </c>
      <c r="D75" s="1178" t="s">
        <v>621</v>
      </c>
      <c r="E75" s="1178"/>
      <c r="F75" s="1178"/>
      <c r="G75" s="1178"/>
      <c r="H75" s="1180"/>
      <c r="I75" s="1177"/>
    </row>
    <row r="76" spans="3:9" ht="12.75">
      <c r="C76" s="1187">
        <v>10000</v>
      </c>
      <c r="D76" s="1178" t="s">
        <v>621</v>
      </c>
      <c r="E76" s="1178"/>
      <c r="F76" s="1178"/>
      <c r="G76" s="1178"/>
      <c r="H76" s="1180"/>
      <c r="I76" s="1177"/>
    </row>
    <row r="77" spans="3:9" ht="12.75">
      <c r="C77" s="1187">
        <v>2726.66</v>
      </c>
      <c r="D77" s="1178" t="s">
        <v>622</v>
      </c>
      <c r="E77" s="1178"/>
      <c r="F77" s="1178"/>
      <c r="G77" s="1178"/>
      <c r="H77" s="1180"/>
      <c r="I77" s="1177"/>
    </row>
    <row r="78" spans="3:9" ht="13.5" thickBot="1">
      <c r="C78" s="1188">
        <v>6804</v>
      </c>
      <c r="D78" s="1189" t="s">
        <v>635</v>
      </c>
      <c r="E78" s="1164"/>
      <c r="F78" s="1164"/>
      <c r="G78" s="1164"/>
      <c r="H78" s="1165"/>
      <c r="I78" s="1177"/>
    </row>
    <row r="79" spans="3:9" ht="13.5" thickBot="1">
      <c r="C79" s="1161">
        <f>SUM(C72:C78)</f>
        <v>53004</v>
      </c>
      <c r="D79" s="1139"/>
      <c r="E79" s="1139"/>
      <c r="F79" s="1139"/>
      <c r="G79" s="1139"/>
      <c r="H79" s="1181">
        <f>C73+C75+C76+C78</f>
        <v>35277.34</v>
      </c>
      <c r="I79" s="1169" t="s">
        <v>620</v>
      </c>
    </row>
    <row r="80" spans="3:9" ht="13.5" thickBot="1">
      <c r="C80" s="1139"/>
      <c r="D80" s="1139"/>
      <c r="E80" s="1139"/>
      <c r="F80" s="1139"/>
      <c r="G80" s="1139"/>
      <c r="H80" s="1139"/>
      <c r="I80" s="1169"/>
    </row>
    <row r="81" spans="3:9" ht="13.5" thickBot="1">
      <c r="C81" s="1160" t="s">
        <v>602</v>
      </c>
      <c r="D81" s="1157"/>
      <c r="E81" s="1139"/>
      <c r="F81" s="1139"/>
      <c r="G81" s="1139"/>
      <c r="H81" s="1139"/>
      <c r="I81" s="1169"/>
    </row>
    <row r="82" spans="3:9" ht="13.5" thickBot="1">
      <c r="C82" s="1166">
        <v>616190</v>
      </c>
      <c r="D82" s="1167" t="s">
        <v>609</v>
      </c>
      <c r="E82" s="1168"/>
      <c r="F82" s="1168"/>
      <c r="G82" s="1168"/>
      <c r="H82" s="1141"/>
      <c r="I82" s="1169"/>
    </row>
    <row r="83" spans="3:9" ht="13.5" thickBot="1">
      <c r="C83" s="1161">
        <f>SUM(C82)</f>
        <v>616190</v>
      </c>
      <c r="D83" s="1139"/>
      <c r="E83" s="1139"/>
      <c r="F83" s="1139"/>
      <c r="G83" s="1139"/>
      <c r="H83" s="1139"/>
      <c r="I83" s="1169"/>
    </row>
    <row r="84" spans="3:9" ht="13.5" thickBot="1">
      <c r="C84" s="1139"/>
      <c r="D84" s="1139"/>
      <c r="E84" s="1139"/>
      <c r="F84" s="1139"/>
      <c r="G84" s="1139"/>
      <c r="H84" s="1139"/>
      <c r="I84" s="1169"/>
    </row>
    <row r="85" spans="3:9" ht="13.5" thickBot="1">
      <c r="C85" s="1159" t="s">
        <v>603</v>
      </c>
      <c r="D85" s="1141"/>
      <c r="E85" s="1139"/>
      <c r="F85" s="1139"/>
      <c r="G85" s="1139"/>
      <c r="H85" s="1139"/>
      <c r="I85" s="1169"/>
    </row>
    <row r="86" spans="3:9" ht="13.5" thickBot="1">
      <c r="C86" s="1158">
        <f>C79+C83</f>
        <v>669194</v>
      </c>
      <c r="D86" s="1139"/>
      <c r="E86" s="1139"/>
      <c r="F86" s="1139"/>
      <c r="G86" s="1139"/>
      <c r="H86" s="1139"/>
      <c r="I86" s="1169"/>
    </row>
    <row r="87" spans="3:9" ht="12.75">
      <c r="C87" s="1139"/>
      <c r="D87" s="1139"/>
      <c r="E87" s="1139"/>
      <c r="F87" s="1139"/>
      <c r="G87" s="1139"/>
      <c r="H87" s="1139"/>
      <c r="I87" s="1169"/>
    </row>
    <row r="88" spans="3:9" ht="13.5" thickBot="1">
      <c r="C88" s="1139"/>
      <c r="D88" s="1139"/>
      <c r="E88" s="1139"/>
      <c r="F88" s="1139"/>
      <c r="G88" s="1139"/>
      <c r="H88" s="1139"/>
      <c r="I88" s="1169"/>
    </row>
    <row r="89" spans="3:9" ht="13.5" thickBot="1">
      <c r="C89" s="1148" t="s">
        <v>604</v>
      </c>
      <c r="D89" s="1149"/>
      <c r="E89" s="1150"/>
      <c r="F89" s="1151">
        <v>15000</v>
      </c>
      <c r="G89" s="1139"/>
      <c r="H89" s="1139"/>
      <c r="I89" s="1169"/>
    </row>
    <row r="90" spans="3:9" ht="13.5" thickBot="1">
      <c r="C90" s="1152" t="s">
        <v>605</v>
      </c>
      <c r="D90" s="1153"/>
      <c r="E90" s="1154"/>
      <c r="F90" s="1155">
        <f>SUM(F91:F92)</f>
        <v>15000</v>
      </c>
      <c r="G90" s="1139"/>
      <c r="H90" s="1139"/>
      <c r="I90" s="1169"/>
    </row>
    <row r="91" spans="3:9" ht="12.75">
      <c r="C91" s="1139"/>
      <c r="D91" s="1145" t="s">
        <v>606</v>
      </c>
      <c r="E91" s="1146"/>
      <c r="F91" s="1147">
        <v>5000</v>
      </c>
      <c r="G91" s="1139"/>
      <c r="H91" s="1139"/>
      <c r="I91" s="1169"/>
    </row>
    <row r="92" spans="3:9" ht="13.5" thickBot="1">
      <c r="C92" s="1139"/>
      <c r="D92" s="1142" t="s">
        <v>613</v>
      </c>
      <c r="E92" s="1143"/>
      <c r="F92" s="1144">
        <v>10000</v>
      </c>
      <c r="G92" s="1139"/>
      <c r="H92" s="1139"/>
      <c r="I92" s="1169"/>
    </row>
    <row r="93" spans="3:9" ht="13.5" thickBot="1">
      <c r="C93" s="1148" t="s">
        <v>608</v>
      </c>
      <c r="D93" s="1149"/>
      <c r="E93" s="1150"/>
      <c r="F93" s="1151">
        <f>F89-F90</f>
        <v>0</v>
      </c>
      <c r="G93" s="1139"/>
      <c r="H93" s="1139"/>
      <c r="I93" s="1169"/>
    </row>
    <row r="94" ht="12.75">
      <c r="I94" s="1169"/>
    </row>
    <row r="95" ht="12.75">
      <c r="I95" s="1169"/>
    </row>
    <row r="96" ht="12.75">
      <c r="I96" s="1169"/>
    </row>
    <row r="97" ht="12.75">
      <c r="I97" s="1169"/>
    </row>
    <row r="98" ht="12.75">
      <c r="I98" s="1169"/>
    </row>
    <row r="99" ht="12.75">
      <c r="I99" s="1169"/>
    </row>
    <row r="100" ht="12.75">
      <c r="I100" s="1169"/>
    </row>
    <row r="101" ht="12.75">
      <c r="I101" s="1169"/>
    </row>
    <row r="102" ht="12.75">
      <c r="I102" s="1169"/>
    </row>
    <row r="103" ht="12.75">
      <c r="I103" s="1169"/>
    </row>
    <row r="104" ht="12.75">
      <c r="I104" s="1169"/>
    </row>
    <row r="105" ht="12.75">
      <c r="I105" s="1169"/>
    </row>
    <row r="106" ht="12.75">
      <c r="I106" s="1169"/>
    </row>
    <row r="107" ht="12.75">
      <c r="I107" s="1169"/>
    </row>
    <row r="108" ht="12.75">
      <c r="I108" s="1169"/>
    </row>
    <row r="109" ht="12.75">
      <c r="I109" s="1169"/>
    </row>
    <row r="110" ht="12.75">
      <c r="I110" s="1169"/>
    </row>
    <row r="111" ht="12.75">
      <c r="I111" s="1169"/>
    </row>
    <row r="112" ht="12.75">
      <c r="I112" s="1169"/>
    </row>
    <row r="113" ht="12.75">
      <c r="I113" s="1169"/>
    </row>
    <row r="114" ht="12.75">
      <c r="I114" s="1169"/>
    </row>
    <row r="115" ht="12.75">
      <c r="I115" s="1169"/>
    </row>
    <row r="116" ht="12.75">
      <c r="I116" s="1169"/>
    </row>
    <row r="117" ht="12.75">
      <c r="I117" s="1169"/>
    </row>
    <row r="118" ht="12.75">
      <c r="I118" s="1169"/>
    </row>
    <row r="119" ht="12.75">
      <c r="I119" s="1169"/>
    </row>
    <row r="120" ht="12.75">
      <c r="I120" s="1169"/>
    </row>
    <row r="121" ht="12.75">
      <c r="I121" s="1169"/>
    </row>
    <row r="122" ht="12.75">
      <c r="I122" s="1169"/>
    </row>
    <row r="123" ht="12.75">
      <c r="I123" s="1169"/>
    </row>
    <row r="124" ht="12.75">
      <c r="I124" s="1169"/>
    </row>
    <row r="125" ht="12.75">
      <c r="I125" s="1169"/>
    </row>
    <row r="126" ht="12.75">
      <c r="I126" s="1169"/>
    </row>
    <row r="127" ht="12.75">
      <c r="I127" s="1169"/>
    </row>
    <row r="128" ht="12.75">
      <c r="I128" s="1169"/>
    </row>
    <row r="129" ht="12.75">
      <c r="I129" s="1169"/>
    </row>
    <row r="130" ht="12.75">
      <c r="I130" s="1169"/>
    </row>
    <row r="131" ht="12.75">
      <c r="I131" s="1169"/>
    </row>
    <row r="132" ht="12.75">
      <c r="I132" s="1169"/>
    </row>
    <row r="133" ht="12.75">
      <c r="I133" s="1169"/>
    </row>
    <row r="134" ht="12.75">
      <c r="I134" s="1169"/>
    </row>
    <row r="135" ht="12.75">
      <c r="I135" s="1169"/>
    </row>
    <row r="136" ht="12.75">
      <c r="I136" s="1169"/>
    </row>
    <row r="137" ht="12.75">
      <c r="I137" s="1169"/>
    </row>
    <row r="138" ht="12.75">
      <c r="I138" s="1169"/>
    </row>
    <row r="139" ht="12.75">
      <c r="I139" s="1169"/>
    </row>
    <row r="140" ht="12.75">
      <c r="I140" s="1169"/>
    </row>
    <row r="141" ht="12.75">
      <c r="I141" s="1169"/>
    </row>
    <row r="142" ht="12.75">
      <c r="I142" s="1169"/>
    </row>
    <row r="143" ht="12.75">
      <c r="I143" s="1169"/>
    </row>
    <row r="144" ht="12.75">
      <c r="I144" s="1169"/>
    </row>
    <row r="145" ht="12.75">
      <c r="I145" s="1169"/>
    </row>
    <row r="146" ht="12.75">
      <c r="I146" s="1169"/>
    </row>
    <row r="147" ht="12.75">
      <c r="I147" s="1169"/>
    </row>
    <row r="148" ht="12.75">
      <c r="I148" s="1169"/>
    </row>
    <row r="149" ht="12.75">
      <c r="I149" s="1169"/>
    </row>
    <row r="150" ht="12.75">
      <c r="I150" s="1169"/>
    </row>
    <row r="151" ht="12.75">
      <c r="I151" s="1169"/>
    </row>
    <row r="152" ht="12.75">
      <c r="I152" s="1169"/>
    </row>
    <row r="153" ht="12.75">
      <c r="I153" s="1169"/>
    </row>
    <row r="154" ht="12.75">
      <c r="I154" s="1169"/>
    </row>
    <row r="155" ht="12.75">
      <c r="I155" s="1169"/>
    </row>
    <row r="156" ht="12.75">
      <c r="I156" s="1169"/>
    </row>
    <row r="157" ht="12.75">
      <c r="I157" s="1169"/>
    </row>
    <row r="158" ht="12.75">
      <c r="I158" s="1169"/>
    </row>
    <row r="159" ht="12.75">
      <c r="I159" s="1169"/>
    </row>
    <row r="160" ht="12.75">
      <c r="I160" s="1169"/>
    </row>
    <row r="161" ht="12.75">
      <c r="I161" s="1169"/>
    </row>
  </sheetData>
  <sheetProtection/>
  <mergeCells count="1">
    <mergeCell ref="A1:B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31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3.7109375" style="0" customWidth="1"/>
    <col min="4" max="4" width="4.00390625" style="0" customWidth="1"/>
    <col min="5" max="5" width="29.8515625" style="0" customWidth="1"/>
    <col min="6" max="6" width="10.57421875" style="0" bestFit="1" customWidth="1"/>
    <col min="7" max="7" width="10.57421875" style="0" customWidth="1"/>
    <col min="8" max="8" width="10.00390625" style="0" bestFit="1" customWidth="1"/>
    <col min="9" max="9" width="10.140625" style="0" bestFit="1" customWidth="1"/>
    <col min="10" max="12" width="10.00390625" style="0" bestFit="1" customWidth="1"/>
    <col min="13" max="13" width="10.00390625" style="49" customWidth="1"/>
  </cols>
  <sheetData>
    <row r="1" spans="2:5" ht="13.5" thickBot="1">
      <c r="B1" s="10"/>
      <c r="C1" s="11"/>
      <c r="D1" s="11"/>
      <c r="E1" s="12"/>
    </row>
    <row r="2" spans="1:13" ht="12.75">
      <c r="A2" s="1240" t="s">
        <v>62</v>
      </c>
      <c r="B2" s="1241"/>
      <c r="C2" s="1241"/>
      <c r="D2" s="1241"/>
      <c r="E2" s="1242"/>
      <c r="F2" s="192" t="s">
        <v>283</v>
      </c>
      <c r="G2" s="192" t="s">
        <v>283</v>
      </c>
      <c r="H2" s="121" t="s">
        <v>284</v>
      </c>
      <c r="I2" s="191" t="s">
        <v>286</v>
      </c>
      <c r="J2" s="530" t="s">
        <v>13</v>
      </c>
      <c r="K2" s="501" t="s">
        <v>13</v>
      </c>
      <c r="L2" s="501" t="s">
        <v>13</v>
      </c>
      <c r="M2" s="488"/>
    </row>
    <row r="3" spans="1:13" ht="13.5" thickBot="1">
      <c r="A3" s="1243"/>
      <c r="B3" s="1244"/>
      <c r="C3" s="1244"/>
      <c r="D3" s="1244"/>
      <c r="E3" s="1245"/>
      <c r="F3" s="193"/>
      <c r="G3" s="193"/>
      <c r="H3" s="122" t="s">
        <v>285</v>
      </c>
      <c r="I3" s="122" t="s">
        <v>287</v>
      </c>
      <c r="J3" s="531"/>
      <c r="K3" s="502" t="s">
        <v>505</v>
      </c>
      <c r="L3" s="502" t="s">
        <v>505</v>
      </c>
      <c r="M3" s="492"/>
    </row>
    <row r="4" spans="1:13" ht="15.75">
      <c r="A4" s="14"/>
      <c r="B4" s="4"/>
      <c r="C4" s="4"/>
      <c r="D4" s="4"/>
      <c r="E4" s="15"/>
      <c r="F4" s="195">
        <v>2018</v>
      </c>
      <c r="G4" s="195">
        <v>2019</v>
      </c>
      <c r="H4" s="196" t="s">
        <v>373</v>
      </c>
      <c r="I4" s="196" t="s">
        <v>373</v>
      </c>
      <c r="J4" s="532" t="s">
        <v>404</v>
      </c>
      <c r="K4" s="503" t="s">
        <v>432</v>
      </c>
      <c r="L4" s="503" t="s">
        <v>537</v>
      </c>
      <c r="M4" s="489"/>
    </row>
    <row r="5" spans="1:13" ht="40.5" thickBot="1">
      <c r="A5" s="103" t="s">
        <v>240</v>
      </c>
      <c r="B5" s="104" t="s">
        <v>14</v>
      </c>
      <c r="C5" s="105" t="s">
        <v>15</v>
      </c>
      <c r="D5" s="104" t="s">
        <v>241</v>
      </c>
      <c r="E5" s="102" t="s">
        <v>155</v>
      </c>
      <c r="F5" s="198" t="s">
        <v>276</v>
      </c>
      <c r="G5" s="198" t="s">
        <v>276</v>
      </c>
      <c r="H5" s="199" t="s">
        <v>276</v>
      </c>
      <c r="I5" s="199" t="s">
        <v>276</v>
      </c>
      <c r="J5" s="534" t="s">
        <v>276</v>
      </c>
      <c r="K5" s="506" t="s">
        <v>276</v>
      </c>
      <c r="L5" s="506" t="s">
        <v>276</v>
      </c>
      <c r="M5" s="490"/>
    </row>
    <row r="6" spans="1:13" ht="14.25" thickBot="1" thickTop="1">
      <c r="A6" s="441">
        <v>1</v>
      </c>
      <c r="B6" s="442"/>
      <c r="C6" s="443"/>
      <c r="D6" s="444"/>
      <c r="E6" s="445" t="s">
        <v>343</v>
      </c>
      <c r="F6" s="446">
        <f>F7+F10</f>
        <v>72519.9</v>
      </c>
      <c r="G6" s="446">
        <f aca="true" t="shared" si="0" ref="G6:L6">G7+G10</f>
        <v>24953.35</v>
      </c>
      <c r="H6" s="446">
        <f t="shared" si="0"/>
        <v>397190</v>
      </c>
      <c r="I6" s="446">
        <f t="shared" si="0"/>
        <v>40468</v>
      </c>
      <c r="J6" s="446">
        <f t="shared" si="0"/>
        <v>617190</v>
      </c>
      <c r="K6" s="446">
        <f t="shared" si="0"/>
        <v>1000</v>
      </c>
      <c r="L6" s="446">
        <f t="shared" si="0"/>
        <v>1000</v>
      </c>
      <c r="M6" s="493"/>
    </row>
    <row r="7" spans="1:13" ht="13.5" thickTop="1">
      <c r="A7" s="441">
        <v>2</v>
      </c>
      <c r="B7" s="447" t="s">
        <v>63</v>
      </c>
      <c r="C7" s="447"/>
      <c r="D7" s="448"/>
      <c r="E7" s="449" t="s">
        <v>342</v>
      </c>
      <c r="F7" s="450">
        <f>F9</f>
        <v>42519.9</v>
      </c>
      <c r="G7" s="450">
        <f>G9</f>
        <v>6953.35</v>
      </c>
      <c r="H7" s="450">
        <f>H8+H9</f>
        <v>1000</v>
      </c>
      <c r="I7" s="450">
        <f>I8+I9</f>
        <v>4278</v>
      </c>
      <c r="J7" s="450">
        <f>J8+J9</f>
        <v>1000</v>
      </c>
      <c r="K7" s="450">
        <f>K8+K9</f>
        <v>1000</v>
      </c>
      <c r="L7" s="450">
        <f>L8+L9</f>
        <v>1000</v>
      </c>
      <c r="M7" s="494"/>
    </row>
    <row r="8" spans="1:13" ht="12.75">
      <c r="A8" s="441">
        <v>3</v>
      </c>
      <c r="B8" s="451"/>
      <c r="C8" s="452"/>
      <c r="D8" s="453"/>
      <c r="E8" s="459" t="s">
        <v>344</v>
      </c>
      <c r="F8" s="455">
        <v>0</v>
      </c>
      <c r="G8" s="455">
        <v>0</v>
      </c>
      <c r="H8" s="455">
        <v>0</v>
      </c>
      <c r="I8" s="455">
        <v>0</v>
      </c>
      <c r="J8" s="455">
        <v>0</v>
      </c>
      <c r="K8" s="455">
        <v>0</v>
      </c>
      <c r="L8" s="455">
        <v>0</v>
      </c>
      <c r="M8" s="491"/>
    </row>
    <row r="9" spans="1:13" ht="12.75">
      <c r="A9" s="441">
        <v>4</v>
      </c>
      <c r="B9" s="456"/>
      <c r="C9" s="452" t="s">
        <v>64</v>
      </c>
      <c r="D9" s="453" t="s">
        <v>25</v>
      </c>
      <c r="E9" s="454" t="s">
        <v>113</v>
      </c>
      <c r="F9" s="457">
        <v>42519.9</v>
      </c>
      <c r="G9" s="457">
        <v>6953.35</v>
      </c>
      <c r="H9" s="457">
        <v>1000</v>
      </c>
      <c r="I9" s="455">
        <v>4278</v>
      </c>
      <c r="J9" s="457">
        <v>1000</v>
      </c>
      <c r="K9" s="457">
        <v>1000</v>
      </c>
      <c r="L9" s="457">
        <v>1000</v>
      </c>
      <c r="M9" s="549"/>
    </row>
    <row r="10" spans="1:13" ht="12.75">
      <c r="A10" s="460">
        <v>5</v>
      </c>
      <c r="B10" s="461" t="s">
        <v>56</v>
      </c>
      <c r="C10" s="462"/>
      <c r="D10" s="462"/>
      <c r="E10" s="463" t="s">
        <v>280</v>
      </c>
      <c r="F10" s="464">
        <f>F11+F12+F13</f>
        <v>30000</v>
      </c>
      <c r="G10" s="464">
        <f>G11+G12+G13</f>
        <v>18000</v>
      </c>
      <c r="H10" s="464">
        <f>SUM(H11:H15)</f>
        <v>396190</v>
      </c>
      <c r="I10" s="464">
        <f>SUM(I11:I15)</f>
        <v>36190</v>
      </c>
      <c r="J10" s="464">
        <f>SUM(J11:J15)</f>
        <v>616190</v>
      </c>
      <c r="K10" s="464">
        <f>SUM(K11:K15)</f>
        <v>0</v>
      </c>
      <c r="L10" s="464">
        <f>SUM(L11:L15)</f>
        <v>0</v>
      </c>
      <c r="M10" s="493"/>
    </row>
    <row r="11" spans="1:14" ht="33.75">
      <c r="A11" s="441">
        <v>6</v>
      </c>
      <c r="B11" s="465"/>
      <c r="C11" s="466"/>
      <c r="D11" s="466"/>
      <c r="E11" s="427" t="s">
        <v>540</v>
      </c>
      <c r="F11" s="467">
        <v>30000</v>
      </c>
      <c r="G11" s="467">
        <v>18000</v>
      </c>
      <c r="H11" s="467">
        <v>0</v>
      </c>
      <c r="I11" s="467">
        <v>0</v>
      </c>
      <c r="J11" s="467">
        <v>0</v>
      </c>
      <c r="K11" s="467">
        <v>0</v>
      </c>
      <c r="L11" s="467">
        <v>0</v>
      </c>
      <c r="M11" s="497"/>
      <c r="N11" s="39"/>
    </row>
    <row r="12" spans="1:14" ht="12.75">
      <c r="A12" s="441">
        <v>7</v>
      </c>
      <c r="B12" s="465"/>
      <c r="C12" s="466"/>
      <c r="D12" s="466"/>
      <c r="E12" s="507" t="s">
        <v>528</v>
      </c>
      <c r="F12" s="467">
        <v>0</v>
      </c>
      <c r="G12" s="467">
        <v>0</v>
      </c>
      <c r="H12" s="467">
        <v>180000</v>
      </c>
      <c r="I12" s="467">
        <v>0</v>
      </c>
      <c r="J12" s="467">
        <v>0</v>
      </c>
      <c r="K12" s="467">
        <v>0</v>
      </c>
      <c r="L12" s="467">
        <v>0</v>
      </c>
      <c r="M12" s="497"/>
      <c r="N12" s="39"/>
    </row>
    <row r="13" spans="1:14" ht="22.5">
      <c r="A13" s="460">
        <v>8</v>
      </c>
      <c r="B13" s="468"/>
      <c r="C13" s="469"/>
      <c r="D13" s="469"/>
      <c r="E13" s="1170" t="s">
        <v>610</v>
      </c>
      <c r="F13" s="457">
        <v>0</v>
      </c>
      <c r="G13" s="457">
        <v>0</v>
      </c>
      <c r="H13" s="457">
        <v>0</v>
      </c>
      <c r="I13" s="457">
        <v>0</v>
      </c>
      <c r="J13" s="1171">
        <v>80000</v>
      </c>
      <c r="K13" s="457">
        <v>0</v>
      </c>
      <c r="L13" s="457">
        <v>0</v>
      </c>
      <c r="M13" s="495"/>
      <c r="N13" s="39"/>
    </row>
    <row r="14" spans="1:14" ht="22.5">
      <c r="A14" s="460">
        <v>10</v>
      </c>
      <c r="B14" s="468"/>
      <c r="C14" s="469"/>
      <c r="D14" s="469"/>
      <c r="E14" s="1170" t="s">
        <v>495</v>
      </c>
      <c r="F14" s="457">
        <v>0</v>
      </c>
      <c r="G14" s="457">
        <v>0</v>
      </c>
      <c r="H14" s="457">
        <v>180000</v>
      </c>
      <c r="I14" s="457">
        <v>0</v>
      </c>
      <c r="J14" s="1171">
        <v>500000</v>
      </c>
      <c r="K14" s="457">
        <v>0</v>
      </c>
      <c r="L14" s="457">
        <v>0</v>
      </c>
      <c r="M14" s="495"/>
      <c r="N14" s="39"/>
    </row>
    <row r="15" spans="1:14" ht="34.5" thickBot="1">
      <c r="A15" s="458">
        <v>11</v>
      </c>
      <c r="B15" s="1053"/>
      <c r="C15" s="1054"/>
      <c r="D15" s="1054"/>
      <c r="E15" s="575" t="s">
        <v>496</v>
      </c>
      <c r="F15" s="1055">
        <v>0</v>
      </c>
      <c r="G15" s="1055">
        <v>0</v>
      </c>
      <c r="H15" s="1055">
        <v>36190</v>
      </c>
      <c r="I15" s="1055">
        <v>36190</v>
      </c>
      <c r="J15" s="1190">
        <v>36190</v>
      </c>
      <c r="K15" s="1055">
        <v>0</v>
      </c>
      <c r="L15" s="1055">
        <v>0</v>
      </c>
      <c r="M15" s="495"/>
      <c r="N15" s="39"/>
    </row>
    <row r="16" spans="1:13" ht="13.5" thickBot="1">
      <c r="A16" s="470">
        <v>12</v>
      </c>
      <c r="B16" s="471"/>
      <c r="C16" s="472"/>
      <c r="D16" s="473"/>
      <c r="E16" s="474" t="s">
        <v>65</v>
      </c>
      <c r="F16" s="475">
        <f aca="true" t="shared" si="1" ref="F16:L16">F6</f>
        <v>72519.9</v>
      </c>
      <c r="G16" s="475">
        <f t="shared" si="1"/>
        <v>24953.35</v>
      </c>
      <c r="H16" s="475">
        <f t="shared" si="1"/>
        <v>397190</v>
      </c>
      <c r="I16" s="475">
        <f t="shared" si="1"/>
        <v>40468</v>
      </c>
      <c r="J16" s="475">
        <f t="shared" si="1"/>
        <v>617190</v>
      </c>
      <c r="K16" s="475">
        <f t="shared" si="1"/>
        <v>1000</v>
      </c>
      <c r="L16" s="475">
        <f t="shared" si="1"/>
        <v>1000</v>
      </c>
      <c r="M16" s="493"/>
    </row>
    <row r="17" spans="1:13" ht="12.75">
      <c r="A17" s="10"/>
      <c r="B17" s="12"/>
      <c r="C17" s="12"/>
      <c r="D17" s="12"/>
      <c r="E17" s="16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0"/>
      <c r="B18" s="12"/>
      <c r="C18" s="12"/>
      <c r="D18" s="18"/>
      <c r="E18" s="19"/>
      <c r="F18" s="17"/>
      <c r="G18" s="17"/>
      <c r="H18" s="17"/>
      <c r="I18" s="17"/>
      <c r="J18" s="17"/>
      <c r="K18" s="17"/>
      <c r="L18" s="17"/>
      <c r="M18" s="17"/>
    </row>
    <row r="19" spans="1:13" ht="13.5" thickBot="1">
      <c r="A19" s="10"/>
      <c r="B19" s="20"/>
      <c r="C19" s="12"/>
      <c r="D19" s="12"/>
      <c r="E19" s="21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240" t="s">
        <v>66</v>
      </c>
      <c r="B20" s="1241"/>
      <c r="C20" s="1241"/>
      <c r="D20" s="1241"/>
      <c r="E20" s="1242"/>
      <c r="F20" s="192" t="s">
        <v>283</v>
      </c>
      <c r="G20" s="192" t="s">
        <v>283</v>
      </c>
      <c r="H20" s="121" t="s">
        <v>284</v>
      </c>
      <c r="I20" s="191" t="s">
        <v>286</v>
      </c>
      <c r="J20" s="530" t="s">
        <v>13</v>
      </c>
      <c r="K20" s="501" t="s">
        <v>13</v>
      </c>
      <c r="L20" s="501" t="s">
        <v>13</v>
      </c>
      <c r="M20" s="488"/>
    </row>
    <row r="21" spans="1:13" ht="13.5" thickBot="1">
      <c r="A21" s="1243"/>
      <c r="B21" s="1244"/>
      <c r="C21" s="1244"/>
      <c r="D21" s="1244"/>
      <c r="E21" s="1245"/>
      <c r="F21" s="193"/>
      <c r="G21" s="193"/>
      <c r="H21" s="122" t="s">
        <v>285</v>
      </c>
      <c r="I21" s="122" t="s">
        <v>287</v>
      </c>
      <c r="J21" s="531"/>
      <c r="K21" s="502" t="s">
        <v>505</v>
      </c>
      <c r="L21" s="502" t="s">
        <v>505</v>
      </c>
      <c r="M21" s="492"/>
    </row>
    <row r="22" spans="1:13" ht="15.75">
      <c r="A22" s="14"/>
      <c r="B22" s="4"/>
      <c r="C22" s="4"/>
      <c r="D22" s="4"/>
      <c r="E22" s="5"/>
      <c r="F22" s="195">
        <v>2018</v>
      </c>
      <c r="G22" s="195">
        <v>2019</v>
      </c>
      <c r="H22" s="196" t="s">
        <v>373</v>
      </c>
      <c r="I22" s="196" t="s">
        <v>373</v>
      </c>
      <c r="J22" s="532" t="s">
        <v>404</v>
      </c>
      <c r="K22" s="503" t="s">
        <v>432</v>
      </c>
      <c r="L22" s="503" t="s">
        <v>537</v>
      </c>
      <c r="M22" s="489"/>
    </row>
    <row r="23" spans="1:13" ht="33" thickBot="1">
      <c r="A23" s="103" t="s">
        <v>240</v>
      </c>
      <c r="B23" s="104"/>
      <c r="C23" s="105"/>
      <c r="D23" s="104"/>
      <c r="E23" s="22" t="s">
        <v>155</v>
      </c>
      <c r="F23" s="198" t="s">
        <v>276</v>
      </c>
      <c r="G23" s="198" t="s">
        <v>276</v>
      </c>
      <c r="H23" s="199" t="s">
        <v>276</v>
      </c>
      <c r="I23" s="199" t="s">
        <v>276</v>
      </c>
      <c r="J23" s="534" t="s">
        <v>276</v>
      </c>
      <c r="K23" s="506" t="s">
        <v>276</v>
      </c>
      <c r="L23" s="506" t="s">
        <v>276</v>
      </c>
      <c r="M23" s="490"/>
    </row>
    <row r="24" spans="1:13" ht="13.5" thickTop="1">
      <c r="A24" s="476">
        <v>1</v>
      </c>
      <c r="B24" s="477"/>
      <c r="C24" s="477"/>
      <c r="D24" s="477"/>
      <c r="E24" s="478" t="s">
        <v>61</v>
      </c>
      <c r="F24" s="479">
        <f>'BP'!G111</f>
        <v>1377490.7400000002</v>
      </c>
      <c r="G24" s="479">
        <f>'BP'!H111</f>
        <v>1543155.8199999998</v>
      </c>
      <c r="H24" s="479">
        <f>'BP'!I111</f>
        <v>1631104.52</v>
      </c>
      <c r="I24" s="479">
        <f>'BP'!J111</f>
        <v>1693277.1600000001</v>
      </c>
      <c r="J24" s="479">
        <f>'BP'!K111</f>
        <v>1694546.94</v>
      </c>
      <c r="K24" s="479">
        <f>'BP'!L111</f>
        <v>1683046.94</v>
      </c>
      <c r="L24" s="479">
        <f>'BP'!M111</f>
        <v>1733046.94</v>
      </c>
      <c r="M24" s="496"/>
    </row>
    <row r="25" spans="1:13" ht="13.5" thickBot="1">
      <c r="A25" s="480">
        <v>2</v>
      </c>
      <c r="B25" s="481"/>
      <c r="C25" s="481"/>
      <c r="D25" s="481"/>
      <c r="E25" s="482" t="s">
        <v>65</v>
      </c>
      <c r="F25" s="483">
        <f aca="true" t="shared" si="2" ref="F25:L25">F16</f>
        <v>72519.9</v>
      </c>
      <c r="G25" s="483">
        <f t="shared" si="2"/>
        <v>24953.35</v>
      </c>
      <c r="H25" s="483">
        <f t="shared" si="2"/>
        <v>397190</v>
      </c>
      <c r="I25" s="483">
        <f t="shared" si="2"/>
        <v>40468</v>
      </c>
      <c r="J25" s="483">
        <f t="shared" si="2"/>
        <v>617190</v>
      </c>
      <c r="K25" s="483">
        <f t="shared" si="2"/>
        <v>1000</v>
      </c>
      <c r="L25" s="483">
        <f t="shared" si="2"/>
        <v>1000</v>
      </c>
      <c r="M25" s="496"/>
    </row>
    <row r="26" spans="1:13" ht="13.5" thickBot="1">
      <c r="A26" s="484">
        <v>3</v>
      </c>
      <c r="B26" s="485"/>
      <c r="C26" s="485"/>
      <c r="D26" s="485"/>
      <c r="E26" s="486" t="s">
        <v>67</v>
      </c>
      <c r="F26" s="487">
        <f aca="true" t="shared" si="3" ref="F26:K26">F24+F25</f>
        <v>1450010.6400000001</v>
      </c>
      <c r="G26" s="487">
        <f t="shared" si="3"/>
        <v>1568109.17</v>
      </c>
      <c r="H26" s="487">
        <f t="shared" si="3"/>
        <v>2028294.52</v>
      </c>
      <c r="I26" s="487">
        <f t="shared" si="3"/>
        <v>1733745.1600000001</v>
      </c>
      <c r="J26" s="487">
        <f>J24+J25</f>
        <v>2311736.94</v>
      </c>
      <c r="K26" s="487">
        <f t="shared" si="3"/>
        <v>1684046.94</v>
      </c>
      <c r="L26" s="487">
        <f>L24+L25</f>
        <v>1734046.94</v>
      </c>
      <c r="M26" s="496"/>
    </row>
    <row r="27" spans="2:5" ht="12.75">
      <c r="B27" s="10"/>
      <c r="C27" s="20"/>
      <c r="D27" s="11"/>
      <c r="E27" s="12"/>
    </row>
    <row r="28" spans="5:13" ht="12.75">
      <c r="E28" s="73"/>
      <c r="F28" s="82"/>
      <c r="G28" s="82"/>
      <c r="H28" s="82"/>
      <c r="I28" s="82"/>
      <c r="J28" s="82"/>
      <c r="K28" s="82"/>
      <c r="L28" s="82"/>
      <c r="M28" s="82"/>
    </row>
    <row r="29" spans="5:13" ht="12.75">
      <c r="E29" s="41"/>
      <c r="F29" s="83"/>
      <c r="G29" s="83"/>
      <c r="H29" s="83"/>
      <c r="I29" s="83"/>
      <c r="J29" s="83"/>
      <c r="K29" s="83"/>
      <c r="L29" s="83"/>
      <c r="M29" s="83"/>
    </row>
    <row r="30" spans="5:13" ht="12.75">
      <c r="E30" s="56"/>
      <c r="F30" s="83"/>
      <c r="G30" s="83"/>
      <c r="H30" s="83"/>
      <c r="I30" s="83"/>
      <c r="J30" s="83"/>
      <c r="K30" s="83"/>
      <c r="L30" s="83"/>
      <c r="M30" s="83"/>
    </row>
    <row r="31" spans="5:13" ht="12.75">
      <c r="E31" s="56"/>
      <c r="F31" s="83"/>
      <c r="G31" s="83"/>
      <c r="H31" s="83"/>
      <c r="I31" s="83"/>
      <c r="J31" s="83"/>
      <c r="K31" s="83"/>
      <c r="L31" s="83"/>
      <c r="M31" s="83"/>
    </row>
  </sheetData>
  <sheetProtection/>
  <mergeCells count="2">
    <mergeCell ref="A2:E3"/>
    <mergeCell ref="A20:E21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130" zoomScaleNormal="130" zoomScalePageLayoutView="0" workbookViewId="0" topLeftCell="A1">
      <selection activeCell="D21" sqref="D21"/>
    </sheetView>
  </sheetViews>
  <sheetFormatPr defaultColWidth="9.140625" defaultRowHeight="12.75"/>
  <cols>
    <col min="1" max="1" width="2.421875" style="0" customWidth="1"/>
    <col min="2" max="2" width="3.8515625" style="0" customWidth="1"/>
    <col min="3" max="3" width="5.28125" style="0" customWidth="1"/>
    <col min="4" max="4" width="27.14062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7.421875" style="0" bestFit="1" customWidth="1"/>
    <col min="10" max="10" width="8.28125" style="0" bestFit="1" customWidth="1"/>
    <col min="11" max="11" width="7.421875" style="0" bestFit="1" customWidth="1"/>
  </cols>
  <sheetData>
    <row r="1" spans="1:2" ht="15" thickBot="1">
      <c r="A1" s="23"/>
      <c r="B1" s="204" t="s">
        <v>291</v>
      </c>
    </row>
    <row r="2" spans="1:11" ht="15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24"/>
      <c r="B3" s="25"/>
      <c r="C3" s="26"/>
      <c r="D3" s="27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28"/>
      <c r="B4" s="201" t="s">
        <v>9</v>
      </c>
      <c r="C4" s="201" t="s">
        <v>292</v>
      </c>
      <c r="D4" s="30"/>
      <c r="E4" s="195">
        <v>2018</v>
      </c>
      <c r="F4" s="509" t="s">
        <v>367</v>
      </c>
      <c r="G4" s="196" t="s">
        <v>373</v>
      </c>
      <c r="H4" s="511">
        <v>2020</v>
      </c>
      <c r="I4" s="537">
        <v>2021</v>
      </c>
      <c r="J4" s="515" t="s">
        <v>432</v>
      </c>
      <c r="K4" s="514">
        <v>2023</v>
      </c>
    </row>
    <row r="5" spans="1:11" ht="13.5" thickBot="1">
      <c r="A5" s="34"/>
      <c r="B5" s="202" t="s">
        <v>74</v>
      </c>
      <c r="C5" s="202" t="s">
        <v>293</v>
      </c>
      <c r="D5" s="203" t="s">
        <v>5</v>
      </c>
      <c r="E5" s="194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2" ht="14.25" thickBot="1" thickTop="1">
      <c r="A6" s="212">
        <v>1</v>
      </c>
      <c r="B6" s="270" t="s">
        <v>146</v>
      </c>
      <c r="C6" s="214"/>
      <c r="D6" s="271"/>
      <c r="E6" s="216">
        <f>E7+E12+E16</f>
        <v>7290.51</v>
      </c>
      <c r="F6" s="216">
        <f aca="true" t="shared" si="0" ref="F6:K6">F7+F12+F16</f>
        <v>6899.7</v>
      </c>
      <c r="G6" s="216">
        <f t="shared" si="0"/>
        <v>6950</v>
      </c>
      <c r="H6" s="216">
        <f t="shared" si="0"/>
        <v>6526</v>
      </c>
      <c r="I6" s="216">
        <f t="shared" si="0"/>
        <v>6950</v>
      </c>
      <c r="J6" s="216">
        <f t="shared" si="0"/>
        <v>6950</v>
      </c>
      <c r="K6" s="216">
        <f t="shared" si="0"/>
        <v>6950</v>
      </c>
      <c r="L6" s="39"/>
    </row>
    <row r="7" spans="1:12" ht="13.5" thickTop="1">
      <c r="A7" s="212">
        <v>2</v>
      </c>
      <c r="B7" s="218">
        <v>1</v>
      </c>
      <c r="C7" s="219" t="s">
        <v>90</v>
      </c>
      <c r="D7" s="220"/>
      <c r="E7" s="221">
        <f aca="true" t="shared" si="1" ref="E7:K7">E8</f>
        <v>1423.48</v>
      </c>
      <c r="F7" s="221">
        <f t="shared" si="1"/>
        <v>1771.49</v>
      </c>
      <c r="G7" s="221">
        <f t="shared" si="1"/>
        <v>1300</v>
      </c>
      <c r="H7" s="221">
        <f t="shared" si="1"/>
        <v>1000</v>
      </c>
      <c r="I7" s="221">
        <f t="shared" si="1"/>
        <v>1300</v>
      </c>
      <c r="J7" s="221">
        <f t="shared" si="1"/>
        <v>1300</v>
      </c>
      <c r="K7" s="221">
        <f t="shared" si="1"/>
        <v>1300</v>
      </c>
      <c r="L7" s="39"/>
    </row>
    <row r="8" spans="1:12" ht="12.75">
      <c r="A8" s="217">
        <v>3</v>
      </c>
      <c r="B8" s="344" t="s">
        <v>249</v>
      </c>
      <c r="C8" s="272" t="s">
        <v>624</v>
      </c>
      <c r="D8" s="247"/>
      <c r="E8" s="225">
        <f>E9+E10+E11</f>
        <v>1423.48</v>
      </c>
      <c r="F8" s="225">
        <f aca="true" t="shared" si="2" ref="F8:K8">F9+F10+F11</f>
        <v>1771.49</v>
      </c>
      <c r="G8" s="225">
        <f t="shared" si="2"/>
        <v>1300</v>
      </c>
      <c r="H8" s="225">
        <f t="shared" si="2"/>
        <v>1000</v>
      </c>
      <c r="I8" s="225">
        <f t="shared" si="2"/>
        <v>1300</v>
      </c>
      <c r="J8" s="225">
        <f t="shared" si="2"/>
        <v>1300</v>
      </c>
      <c r="K8" s="225">
        <f t="shared" si="2"/>
        <v>1300</v>
      </c>
      <c r="L8" s="39"/>
    </row>
    <row r="9" spans="1:12" ht="12.75">
      <c r="A9" s="217">
        <v>4</v>
      </c>
      <c r="B9" s="226"/>
      <c r="C9" s="273" t="s">
        <v>289</v>
      </c>
      <c r="D9" s="208" t="s">
        <v>52</v>
      </c>
      <c r="E9" s="263">
        <v>1056.38</v>
      </c>
      <c r="F9" s="263">
        <v>1250.93</v>
      </c>
      <c r="G9" s="263">
        <v>1000</v>
      </c>
      <c r="H9" s="263">
        <v>700</v>
      </c>
      <c r="I9" s="263">
        <v>1000</v>
      </c>
      <c r="J9" s="263">
        <v>1000</v>
      </c>
      <c r="K9" s="263">
        <v>1000</v>
      </c>
      <c r="L9" s="39"/>
    </row>
    <row r="10" spans="1:12" ht="12.75">
      <c r="A10" s="217">
        <v>5</v>
      </c>
      <c r="B10" s="274"/>
      <c r="C10" s="275" t="s">
        <v>289</v>
      </c>
      <c r="D10" s="208" t="s">
        <v>167</v>
      </c>
      <c r="E10" s="229">
        <v>339.6</v>
      </c>
      <c r="F10" s="229">
        <v>520.56</v>
      </c>
      <c r="G10" s="229">
        <v>300</v>
      </c>
      <c r="H10" s="229">
        <v>300</v>
      </c>
      <c r="I10" s="229">
        <v>300</v>
      </c>
      <c r="J10" s="229">
        <v>300</v>
      </c>
      <c r="K10" s="229">
        <v>300</v>
      </c>
      <c r="L10" s="39"/>
    </row>
    <row r="11" spans="1:12" ht="12.75">
      <c r="A11" s="217">
        <v>6</v>
      </c>
      <c r="B11" s="274"/>
      <c r="C11" s="275" t="s">
        <v>289</v>
      </c>
      <c r="D11" s="208" t="s">
        <v>382</v>
      </c>
      <c r="E11" s="241">
        <v>27.5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39"/>
    </row>
    <row r="12" spans="1:12" ht="12.75">
      <c r="A12" s="217">
        <v>7</v>
      </c>
      <c r="B12" s="231">
        <v>2</v>
      </c>
      <c r="C12" s="1094" t="s">
        <v>81</v>
      </c>
      <c r="D12" s="233"/>
      <c r="E12" s="221">
        <f aca="true" t="shared" si="3" ref="E12:K12">E13</f>
        <v>3645.39</v>
      </c>
      <c r="F12" s="221">
        <f t="shared" si="3"/>
        <v>2906.33</v>
      </c>
      <c r="G12" s="221">
        <f t="shared" si="3"/>
        <v>3350</v>
      </c>
      <c r="H12" s="221">
        <f t="shared" si="3"/>
        <v>3350</v>
      </c>
      <c r="I12" s="221">
        <f t="shared" si="3"/>
        <v>3350</v>
      </c>
      <c r="J12" s="221">
        <f t="shared" si="3"/>
        <v>3350</v>
      </c>
      <c r="K12" s="221">
        <f t="shared" si="3"/>
        <v>3350</v>
      </c>
      <c r="L12" s="39"/>
    </row>
    <row r="13" spans="1:12" ht="12.75">
      <c r="A13" s="217">
        <v>8</v>
      </c>
      <c r="B13" s="394" t="s">
        <v>249</v>
      </c>
      <c r="C13" s="276" t="s">
        <v>624</v>
      </c>
      <c r="D13" s="247"/>
      <c r="E13" s="225">
        <f>E14+E15</f>
        <v>3645.39</v>
      </c>
      <c r="F13" s="225">
        <f aca="true" t="shared" si="4" ref="F13:K13">F14+F15</f>
        <v>2906.33</v>
      </c>
      <c r="G13" s="225">
        <f t="shared" si="4"/>
        <v>3350</v>
      </c>
      <c r="H13" s="225">
        <f t="shared" si="4"/>
        <v>3350</v>
      </c>
      <c r="I13" s="225">
        <f t="shared" si="4"/>
        <v>3350</v>
      </c>
      <c r="J13" s="225">
        <f t="shared" si="4"/>
        <v>3350</v>
      </c>
      <c r="K13" s="225">
        <f t="shared" si="4"/>
        <v>3350</v>
      </c>
      <c r="L13" s="39"/>
    </row>
    <row r="14" spans="1:12" ht="12.75">
      <c r="A14" s="217">
        <v>9</v>
      </c>
      <c r="B14" s="277"/>
      <c r="C14" s="278" t="s">
        <v>290</v>
      </c>
      <c r="D14" s="240" t="s">
        <v>53</v>
      </c>
      <c r="E14" s="229">
        <v>3645.39</v>
      </c>
      <c r="F14" s="229">
        <v>2906.33</v>
      </c>
      <c r="G14" s="229">
        <v>3350</v>
      </c>
      <c r="H14" s="229">
        <v>3350</v>
      </c>
      <c r="I14" s="229">
        <v>3350</v>
      </c>
      <c r="J14" s="229">
        <v>3350</v>
      </c>
      <c r="K14" s="229">
        <v>3350</v>
      </c>
      <c r="L14" s="39"/>
    </row>
    <row r="15" spans="1:12" ht="12.75">
      <c r="A15" s="217">
        <v>10</v>
      </c>
      <c r="B15" s="277"/>
      <c r="C15" s="279" t="s">
        <v>290</v>
      </c>
      <c r="D15" s="280" t="s">
        <v>506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0</v>
      </c>
      <c r="L15" s="39"/>
    </row>
    <row r="16" spans="1:12" ht="12.75">
      <c r="A16" s="217">
        <v>11</v>
      </c>
      <c r="B16" s="231">
        <v>3</v>
      </c>
      <c r="C16" s="232" t="s">
        <v>91</v>
      </c>
      <c r="D16" s="233"/>
      <c r="E16" s="234">
        <f aca="true" t="shared" si="5" ref="E16:K17">E17</f>
        <v>2221.64</v>
      </c>
      <c r="F16" s="234">
        <f t="shared" si="5"/>
        <v>2221.88</v>
      </c>
      <c r="G16" s="234">
        <f t="shared" si="5"/>
        <v>2300</v>
      </c>
      <c r="H16" s="234">
        <f t="shared" si="5"/>
        <v>2176</v>
      </c>
      <c r="I16" s="234">
        <f t="shared" si="5"/>
        <v>2300</v>
      </c>
      <c r="J16" s="234">
        <f t="shared" si="5"/>
        <v>2300</v>
      </c>
      <c r="K16" s="234">
        <f t="shared" si="5"/>
        <v>2300</v>
      </c>
      <c r="L16" s="39"/>
    </row>
    <row r="17" spans="1:12" ht="12.75">
      <c r="A17" s="217">
        <v>12</v>
      </c>
      <c r="B17" s="394" t="s">
        <v>92</v>
      </c>
      <c r="C17" s="276" t="s">
        <v>1</v>
      </c>
      <c r="D17" s="247"/>
      <c r="E17" s="225">
        <f t="shared" si="5"/>
        <v>2221.64</v>
      </c>
      <c r="F17" s="225">
        <f t="shared" si="5"/>
        <v>2221.88</v>
      </c>
      <c r="G17" s="225">
        <f t="shared" si="5"/>
        <v>2300</v>
      </c>
      <c r="H17" s="225">
        <f t="shared" si="5"/>
        <v>2176</v>
      </c>
      <c r="I17" s="225">
        <f t="shared" si="5"/>
        <v>2300</v>
      </c>
      <c r="J17" s="225">
        <f t="shared" si="5"/>
        <v>2300</v>
      </c>
      <c r="K17" s="225">
        <f t="shared" si="5"/>
        <v>2300</v>
      </c>
      <c r="L17" s="39"/>
    </row>
    <row r="18" spans="1:12" ht="13.5" thickBot="1">
      <c r="A18" s="264">
        <v>13</v>
      </c>
      <c r="B18" s="265" t="s">
        <v>112</v>
      </c>
      <c r="C18" s="281" t="s">
        <v>289</v>
      </c>
      <c r="D18" s="282" t="s">
        <v>91</v>
      </c>
      <c r="E18" s="267">
        <v>2221.64</v>
      </c>
      <c r="F18" s="267">
        <v>2221.88</v>
      </c>
      <c r="G18" s="267">
        <v>2300</v>
      </c>
      <c r="H18" s="267">
        <v>2176</v>
      </c>
      <c r="I18" s="267">
        <v>2300</v>
      </c>
      <c r="J18" s="267">
        <v>2300</v>
      </c>
      <c r="K18" s="267">
        <v>2300</v>
      </c>
      <c r="L18" s="39"/>
    </row>
    <row r="20" spans="2:4" s="64" customFormat="1" ht="9.75">
      <c r="B20" s="48"/>
      <c r="D20" s="171"/>
    </row>
    <row r="21" spans="1:2" s="64" customFormat="1" ht="9.75">
      <c r="A21" s="48"/>
      <c r="B21" s="156"/>
    </row>
    <row r="22" spans="1:3" s="64" customFormat="1" ht="9.75">
      <c r="A22" s="48"/>
      <c r="C22" s="170"/>
    </row>
    <row r="23" spans="1:3" s="64" customFormat="1" ht="9.75">
      <c r="A23" s="48"/>
      <c r="C23" s="170"/>
    </row>
    <row r="24" spans="1:3" s="64" customFormat="1" ht="9.75">
      <c r="A24" s="48"/>
      <c r="B24" s="169"/>
      <c r="C24" s="170"/>
    </row>
    <row r="25" s="64" customFormat="1" ht="9.75">
      <c r="A25" s="48"/>
    </row>
    <row r="29" ht="12.75">
      <c r="D29" s="91"/>
    </row>
  </sheetData>
  <sheetProtection/>
  <mergeCells count="1">
    <mergeCell ref="A2:D2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130" zoomScaleNormal="130" zoomScalePageLayoutView="0" workbookViewId="0" topLeftCell="A1">
      <pane ySplit="5" topLeftCell="A57" activePane="bottomLeft" state="frozen"/>
      <selection pane="topLeft" activeCell="A1" sqref="A1"/>
      <selection pane="bottomLeft" activeCell="O68" sqref="O68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7.00390625" style="0" customWidth="1"/>
    <col min="4" max="4" width="27.28125" style="0" customWidth="1"/>
    <col min="5" max="6" width="10.57421875" style="0" bestFit="1" customWidth="1"/>
    <col min="7" max="7" width="10.421875" style="0" bestFit="1" customWidth="1"/>
    <col min="8" max="8" width="10.28125" style="0" bestFit="1" customWidth="1"/>
    <col min="9" max="9" width="10.57421875" style="0" bestFit="1" customWidth="1"/>
    <col min="10" max="11" width="9.421875" style="0" bestFit="1" customWidth="1"/>
    <col min="12" max="12" width="8.8515625" style="47" customWidth="1"/>
  </cols>
  <sheetData>
    <row r="1" spans="1:2" ht="15" thickBot="1">
      <c r="A1" s="23"/>
      <c r="B1" s="204" t="s">
        <v>294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4"/>
      <c r="B3" s="125"/>
      <c r="C3" s="126"/>
      <c r="D3" s="127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52" t="s">
        <v>9</v>
      </c>
      <c r="C4" s="205" t="s">
        <v>292</v>
      </c>
      <c r="D4" s="130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131"/>
      <c r="B5" s="54" t="s">
        <v>74</v>
      </c>
      <c r="C5" s="207" t="s">
        <v>74</v>
      </c>
      <c r="D5" s="206" t="s">
        <v>5</v>
      </c>
      <c r="E5" s="194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ht="14.25" thickBot="1" thickTop="1">
      <c r="A6" s="212">
        <v>1</v>
      </c>
      <c r="B6" s="213" t="s">
        <v>116</v>
      </c>
      <c r="C6" s="214"/>
      <c r="D6" s="215"/>
      <c r="E6" s="623">
        <f aca="true" t="shared" si="0" ref="E6:K6">E7+E10+E14+E18+E30+E34+E45</f>
        <v>57462.50000000001</v>
      </c>
      <c r="F6" s="623">
        <f t="shared" si="0"/>
        <v>47530.48</v>
      </c>
      <c r="G6" s="623">
        <f t="shared" si="0"/>
        <v>49541</v>
      </c>
      <c r="H6" s="623">
        <f t="shared" si="0"/>
        <v>70925.56</v>
      </c>
      <c r="I6" s="623">
        <f t="shared" si="0"/>
        <v>50906</v>
      </c>
      <c r="J6" s="623">
        <f t="shared" si="0"/>
        <v>50906</v>
      </c>
      <c r="K6" s="623">
        <f t="shared" si="0"/>
        <v>50906</v>
      </c>
    </row>
    <row r="7" spans="1:11" ht="13.5" thickTop="1">
      <c r="A7" s="217">
        <v>2</v>
      </c>
      <c r="B7" s="218">
        <v>1</v>
      </c>
      <c r="C7" s="219" t="s">
        <v>623</v>
      </c>
      <c r="D7" s="220"/>
      <c r="E7" s="430">
        <f aca="true" t="shared" si="1" ref="E7:K8">E8</f>
        <v>0</v>
      </c>
      <c r="F7" s="430">
        <f t="shared" si="1"/>
        <v>536.31</v>
      </c>
      <c r="G7" s="430">
        <f t="shared" si="1"/>
        <v>500</v>
      </c>
      <c r="H7" s="430">
        <f t="shared" si="1"/>
        <v>500</v>
      </c>
      <c r="I7" s="430">
        <f t="shared" si="1"/>
        <v>500</v>
      </c>
      <c r="J7" s="430">
        <f t="shared" si="1"/>
        <v>500</v>
      </c>
      <c r="K7" s="430">
        <f t="shared" si="1"/>
        <v>500</v>
      </c>
    </row>
    <row r="8" spans="1:11" ht="12.75">
      <c r="A8" s="217">
        <v>3</v>
      </c>
      <c r="B8" s="222" t="s">
        <v>249</v>
      </c>
      <c r="C8" s="223" t="s">
        <v>624</v>
      </c>
      <c r="D8" s="224"/>
      <c r="E8" s="624">
        <f>E9</f>
        <v>0</v>
      </c>
      <c r="F8" s="624">
        <f>F9</f>
        <v>536.31</v>
      </c>
      <c r="G8" s="624">
        <f>G9</f>
        <v>500</v>
      </c>
      <c r="H8" s="624">
        <f t="shared" si="1"/>
        <v>500</v>
      </c>
      <c r="I8" s="624">
        <f t="shared" si="1"/>
        <v>500</v>
      </c>
      <c r="J8" s="624">
        <f t="shared" si="1"/>
        <v>500</v>
      </c>
      <c r="K8" s="624">
        <f t="shared" si="1"/>
        <v>500</v>
      </c>
    </row>
    <row r="9" spans="1:11" ht="22.5">
      <c r="A9" s="258">
        <v>5</v>
      </c>
      <c r="B9" s="226"/>
      <c r="C9" s="251" t="s">
        <v>289</v>
      </c>
      <c r="D9" s="210" t="s">
        <v>360</v>
      </c>
      <c r="E9" s="554">
        <v>0</v>
      </c>
      <c r="F9" s="554">
        <v>536.31</v>
      </c>
      <c r="G9" s="554">
        <v>500</v>
      </c>
      <c r="H9" s="554">
        <v>500</v>
      </c>
      <c r="I9" s="554">
        <v>500</v>
      </c>
      <c r="J9" s="554">
        <v>500</v>
      </c>
      <c r="K9" s="554">
        <v>500</v>
      </c>
    </row>
    <row r="10" spans="1:11" ht="12.75">
      <c r="A10" s="217">
        <v>6</v>
      </c>
      <c r="B10" s="231">
        <v>2</v>
      </c>
      <c r="C10" s="232" t="s">
        <v>93</v>
      </c>
      <c r="D10" s="233"/>
      <c r="E10" s="625">
        <f aca="true" t="shared" si="2" ref="E10:K10">E11</f>
        <v>19173.25</v>
      </c>
      <c r="F10" s="625">
        <f t="shared" si="2"/>
        <v>23375.86</v>
      </c>
      <c r="G10" s="625">
        <f t="shared" si="2"/>
        <v>29336</v>
      </c>
      <c r="H10" s="625">
        <f t="shared" si="2"/>
        <v>27336</v>
      </c>
      <c r="I10" s="625">
        <f t="shared" si="2"/>
        <v>29336</v>
      </c>
      <c r="J10" s="625">
        <f t="shared" si="2"/>
        <v>29336</v>
      </c>
      <c r="K10" s="625">
        <f t="shared" si="2"/>
        <v>29336</v>
      </c>
    </row>
    <row r="11" spans="1:11" ht="12.75">
      <c r="A11" s="217">
        <v>7</v>
      </c>
      <c r="B11" s="235" t="s">
        <v>249</v>
      </c>
      <c r="C11" s="223" t="s">
        <v>624</v>
      </c>
      <c r="D11" s="224"/>
      <c r="E11" s="624">
        <f>E12+E13</f>
        <v>19173.25</v>
      </c>
      <c r="F11" s="624">
        <f aca="true" t="shared" si="3" ref="F11:K11">F12+F13</f>
        <v>23375.86</v>
      </c>
      <c r="G11" s="624">
        <f t="shared" si="3"/>
        <v>29336</v>
      </c>
      <c r="H11" s="624">
        <f t="shared" si="3"/>
        <v>27336</v>
      </c>
      <c r="I11" s="624">
        <f t="shared" si="3"/>
        <v>29336</v>
      </c>
      <c r="J11" s="624">
        <f t="shared" si="3"/>
        <v>29336</v>
      </c>
      <c r="K11" s="624">
        <f t="shared" si="3"/>
        <v>29336</v>
      </c>
    </row>
    <row r="12" spans="1:11" ht="12.75">
      <c r="A12" s="217">
        <v>8</v>
      </c>
      <c r="B12" s="236"/>
      <c r="C12" s="237">
        <v>630</v>
      </c>
      <c r="D12" s="228" t="s">
        <v>270</v>
      </c>
      <c r="E12" s="554">
        <v>2147.18</v>
      </c>
      <c r="F12" s="554">
        <v>2623.49</v>
      </c>
      <c r="G12" s="554">
        <v>3500</v>
      </c>
      <c r="H12" s="554">
        <v>3500</v>
      </c>
      <c r="I12" s="554">
        <v>3500</v>
      </c>
      <c r="J12" s="554">
        <v>3500</v>
      </c>
      <c r="K12" s="554">
        <v>3500</v>
      </c>
    </row>
    <row r="13" spans="1:11" ht="12.75">
      <c r="A13" s="217">
        <v>9</v>
      </c>
      <c r="B13" s="238"/>
      <c r="C13" s="239">
        <v>630</v>
      </c>
      <c r="D13" s="240" t="s">
        <v>271</v>
      </c>
      <c r="E13" s="553">
        <v>17026.07</v>
      </c>
      <c r="F13" s="553">
        <v>20752.37</v>
      </c>
      <c r="G13" s="553">
        <v>25836</v>
      </c>
      <c r="H13" s="553">
        <v>23836</v>
      </c>
      <c r="I13" s="553">
        <v>25836</v>
      </c>
      <c r="J13" s="648">
        <v>25836</v>
      </c>
      <c r="K13" s="553">
        <v>25836</v>
      </c>
    </row>
    <row r="14" spans="1:11" ht="12.75">
      <c r="A14" s="217">
        <v>10</v>
      </c>
      <c r="B14" s="231">
        <v>3</v>
      </c>
      <c r="C14" s="242" t="s">
        <v>94</v>
      </c>
      <c r="D14" s="243"/>
      <c r="E14" s="626">
        <f aca="true" t="shared" si="4" ref="E14:K14">E15</f>
        <v>3297.77</v>
      </c>
      <c r="F14" s="626">
        <f t="shared" si="4"/>
        <v>2330.31</v>
      </c>
      <c r="G14" s="626">
        <f t="shared" si="4"/>
        <v>3200</v>
      </c>
      <c r="H14" s="626">
        <f t="shared" si="4"/>
        <v>3200</v>
      </c>
      <c r="I14" s="626">
        <f t="shared" si="4"/>
        <v>3200</v>
      </c>
      <c r="J14" s="626">
        <f t="shared" si="4"/>
        <v>3200</v>
      </c>
      <c r="K14" s="626">
        <f t="shared" si="4"/>
        <v>3200</v>
      </c>
    </row>
    <row r="15" spans="1:11" ht="12.75">
      <c r="A15" s="217">
        <v>11</v>
      </c>
      <c r="B15" s="245" t="s">
        <v>249</v>
      </c>
      <c r="C15" s="246" t="s">
        <v>624</v>
      </c>
      <c r="D15" s="247"/>
      <c r="E15" s="627">
        <f>E16</f>
        <v>3297.77</v>
      </c>
      <c r="F15" s="627">
        <f>F16</f>
        <v>2330.31</v>
      </c>
      <c r="G15" s="627">
        <f>G16+G17</f>
        <v>3200</v>
      </c>
      <c r="H15" s="627">
        <f>H16+H17</f>
        <v>3200</v>
      </c>
      <c r="I15" s="627">
        <f>I16+I17</f>
        <v>3200</v>
      </c>
      <c r="J15" s="627">
        <f>J16+J17</f>
        <v>3200</v>
      </c>
      <c r="K15" s="627">
        <f>K16+K17</f>
        <v>3200</v>
      </c>
    </row>
    <row r="16" spans="1:11" ht="12.75">
      <c r="A16" s="217">
        <v>12</v>
      </c>
      <c r="B16" s="226"/>
      <c r="C16" s="249" t="s">
        <v>289</v>
      </c>
      <c r="D16" s="250" t="s">
        <v>177</v>
      </c>
      <c r="E16" s="553">
        <v>3297.77</v>
      </c>
      <c r="F16" s="553">
        <v>2330.31</v>
      </c>
      <c r="G16" s="553">
        <v>3200</v>
      </c>
      <c r="H16" s="553">
        <v>3200</v>
      </c>
      <c r="I16" s="553">
        <v>3200</v>
      </c>
      <c r="J16" s="553">
        <v>3200</v>
      </c>
      <c r="K16" s="553">
        <v>3200</v>
      </c>
    </row>
    <row r="17" spans="1:11" ht="12.75">
      <c r="A17" s="217">
        <v>13</v>
      </c>
      <c r="B17" s="226"/>
      <c r="C17" s="251" t="s">
        <v>289</v>
      </c>
      <c r="D17" s="250" t="s">
        <v>345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</row>
    <row r="18" spans="1:11" ht="12.75">
      <c r="A18" s="217">
        <v>14</v>
      </c>
      <c r="B18" s="231">
        <v>4</v>
      </c>
      <c r="C18" s="232" t="s">
        <v>86</v>
      </c>
      <c r="D18" s="233"/>
      <c r="E18" s="430">
        <f>E19+E24</f>
        <v>20893.14</v>
      </c>
      <c r="F18" s="430">
        <f aca="true" t="shared" si="5" ref="F18:K18">F19+F24</f>
        <v>7663.04</v>
      </c>
      <c r="G18" s="430">
        <f t="shared" si="5"/>
        <v>5710</v>
      </c>
      <c r="H18" s="430">
        <f t="shared" si="5"/>
        <v>25070</v>
      </c>
      <c r="I18" s="430">
        <f t="shared" si="5"/>
        <v>5570</v>
      </c>
      <c r="J18" s="430">
        <f t="shared" si="5"/>
        <v>5570</v>
      </c>
      <c r="K18" s="430">
        <f t="shared" si="5"/>
        <v>5570</v>
      </c>
    </row>
    <row r="19" spans="1:11" ht="12.75">
      <c r="A19" s="217">
        <v>15</v>
      </c>
      <c r="B19" s="222" t="s">
        <v>249</v>
      </c>
      <c r="C19" s="252" t="s">
        <v>624</v>
      </c>
      <c r="D19" s="247"/>
      <c r="E19" s="624">
        <f>E20+E21+E23</f>
        <v>6953.55</v>
      </c>
      <c r="F19" s="624">
        <f>F20+F21+F23</f>
        <v>2991.58</v>
      </c>
      <c r="G19" s="624">
        <f>G20+G21+G23</f>
        <v>3000</v>
      </c>
      <c r="H19" s="624">
        <f>SUM(H20:H23)</f>
        <v>20500</v>
      </c>
      <c r="I19" s="624">
        <f>SUM(I20:I23)</f>
        <v>3000</v>
      </c>
      <c r="J19" s="624">
        <f>SUM(J20:J23)</f>
        <v>3000</v>
      </c>
      <c r="K19" s="624">
        <f>SUM(K20:K23)</f>
        <v>3000</v>
      </c>
    </row>
    <row r="20" spans="1:11" ht="12.75">
      <c r="A20" s="217">
        <v>16</v>
      </c>
      <c r="B20" s="226"/>
      <c r="C20" s="251" t="s">
        <v>289</v>
      </c>
      <c r="D20" s="240" t="s">
        <v>168</v>
      </c>
      <c r="E20" s="554">
        <v>0</v>
      </c>
      <c r="F20" s="554">
        <v>579.92</v>
      </c>
      <c r="G20" s="554">
        <v>500</v>
      </c>
      <c r="H20" s="554">
        <v>500</v>
      </c>
      <c r="I20" s="554">
        <v>500</v>
      </c>
      <c r="J20" s="554">
        <v>500</v>
      </c>
      <c r="K20" s="554">
        <v>500</v>
      </c>
    </row>
    <row r="21" spans="1:11" ht="22.5">
      <c r="A21" s="217">
        <v>17</v>
      </c>
      <c r="B21" s="226"/>
      <c r="C21" s="249" t="s">
        <v>289</v>
      </c>
      <c r="D21" s="211" t="s">
        <v>553</v>
      </c>
      <c r="E21" s="553">
        <v>6953.55</v>
      </c>
      <c r="F21" s="553">
        <v>2411.66</v>
      </c>
      <c r="G21" s="553">
        <v>2000</v>
      </c>
      <c r="H21" s="553">
        <v>1500</v>
      </c>
      <c r="I21" s="553">
        <v>2000</v>
      </c>
      <c r="J21" s="553">
        <v>2000</v>
      </c>
      <c r="K21" s="553">
        <v>2000</v>
      </c>
    </row>
    <row r="22" spans="1:11" ht="33.75">
      <c r="A22" s="217"/>
      <c r="B22" s="226"/>
      <c r="C22" s="249" t="s">
        <v>289</v>
      </c>
      <c r="D22" s="211" t="s">
        <v>554</v>
      </c>
      <c r="E22" s="553">
        <v>0</v>
      </c>
      <c r="F22" s="553">
        <v>0</v>
      </c>
      <c r="G22" s="553">
        <v>0</v>
      </c>
      <c r="H22" s="553">
        <v>18000</v>
      </c>
      <c r="I22" s="553">
        <v>0</v>
      </c>
      <c r="J22" s="553">
        <v>0</v>
      </c>
      <c r="K22" s="553">
        <v>0</v>
      </c>
    </row>
    <row r="23" spans="1:11" ht="12.75">
      <c r="A23" s="217">
        <v>18</v>
      </c>
      <c r="B23" s="226"/>
      <c r="C23" s="249" t="s">
        <v>289</v>
      </c>
      <c r="D23" s="211" t="s">
        <v>426</v>
      </c>
      <c r="E23" s="553">
        <v>0</v>
      </c>
      <c r="F23" s="553">
        <v>0</v>
      </c>
      <c r="G23" s="553">
        <v>500</v>
      </c>
      <c r="H23" s="553">
        <v>500</v>
      </c>
      <c r="I23" s="553">
        <v>500</v>
      </c>
      <c r="J23" s="553">
        <v>500</v>
      </c>
      <c r="K23" s="553">
        <v>500</v>
      </c>
    </row>
    <row r="24" spans="1:11" ht="12.75">
      <c r="A24" s="217">
        <v>19</v>
      </c>
      <c r="B24" s="253" t="s">
        <v>250</v>
      </c>
      <c r="C24" s="254" t="s">
        <v>157</v>
      </c>
      <c r="D24" s="255"/>
      <c r="E24" s="628">
        <f>E25+E26+E27+E28+E29</f>
        <v>13939.59</v>
      </c>
      <c r="F24" s="628">
        <f aca="true" t="shared" si="6" ref="F24:K24">F25+F26+F27+F28+F29</f>
        <v>4671.46</v>
      </c>
      <c r="G24" s="628">
        <f t="shared" si="6"/>
        <v>2710</v>
      </c>
      <c r="H24" s="628">
        <f t="shared" si="6"/>
        <v>4570</v>
      </c>
      <c r="I24" s="628">
        <f t="shared" si="6"/>
        <v>2570</v>
      </c>
      <c r="J24" s="628">
        <f t="shared" si="6"/>
        <v>2570</v>
      </c>
      <c r="K24" s="628">
        <f t="shared" si="6"/>
        <v>2570</v>
      </c>
    </row>
    <row r="25" spans="1:11" ht="12.75">
      <c r="A25" s="217">
        <v>20</v>
      </c>
      <c r="B25" s="226"/>
      <c r="C25" s="251" t="s">
        <v>289</v>
      </c>
      <c r="D25" s="208" t="s">
        <v>169</v>
      </c>
      <c r="E25" s="553">
        <v>9592.59</v>
      </c>
      <c r="F25" s="553">
        <v>3998.26</v>
      </c>
      <c r="G25" s="553">
        <v>2000</v>
      </c>
      <c r="H25" s="553">
        <v>2000</v>
      </c>
      <c r="I25" s="553">
        <v>2000</v>
      </c>
      <c r="J25" s="553">
        <v>2000</v>
      </c>
      <c r="K25" s="553">
        <v>2000</v>
      </c>
    </row>
    <row r="26" spans="1:11" ht="22.5">
      <c r="A26" s="217">
        <v>21</v>
      </c>
      <c r="B26" s="226"/>
      <c r="C26" s="256" t="s">
        <v>289</v>
      </c>
      <c r="D26" s="209" t="s">
        <v>580</v>
      </c>
      <c r="E26" s="553">
        <v>0</v>
      </c>
      <c r="F26" s="553">
        <v>0</v>
      </c>
      <c r="G26" s="553">
        <v>0</v>
      </c>
      <c r="H26" s="553">
        <v>2000</v>
      </c>
      <c r="I26" s="553">
        <v>0</v>
      </c>
      <c r="J26" s="553">
        <v>0</v>
      </c>
      <c r="K26" s="553">
        <v>0</v>
      </c>
    </row>
    <row r="27" spans="1:11" ht="12.75">
      <c r="A27" s="217">
        <v>22</v>
      </c>
      <c r="B27" s="226"/>
      <c r="C27" s="256" t="s">
        <v>289</v>
      </c>
      <c r="D27" s="209" t="s">
        <v>242</v>
      </c>
      <c r="E27" s="554">
        <v>0</v>
      </c>
      <c r="F27" s="554">
        <v>463.2</v>
      </c>
      <c r="G27" s="554">
        <v>500</v>
      </c>
      <c r="H27" s="554">
        <v>500</v>
      </c>
      <c r="I27" s="554">
        <v>500</v>
      </c>
      <c r="J27" s="554">
        <v>500</v>
      </c>
      <c r="K27" s="554">
        <v>500</v>
      </c>
    </row>
    <row r="28" spans="1:11" ht="22.5">
      <c r="A28" s="217">
        <v>23</v>
      </c>
      <c r="B28" s="226"/>
      <c r="C28" s="256" t="s">
        <v>289</v>
      </c>
      <c r="D28" s="209" t="s">
        <v>401</v>
      </c>
      <c r="E28" s="554">
        <v>4277</v>
      </c>
      <c r="F28" s="554">
        <v>0</v>
      </c>
      <c r="G28" s="554">
        <v>0</v>
      </c>
      <c r="H28" s="554">
        <v>0</v>
      </c>
      <c r="I28" s="554">
        <v>0</v>
      </c>
      <c r="J28" s="554">
        <v>0</v>
      </c>
      <c r="K28" s="554">
        <v>0</v>
      </c>
    </row>
    <row r="29" spans="1:11" ht="22.5">
      <c r="A29" s="217">
        <v>25</v>
      </c>
      <c r="B29" s="257"/>
      <c r="C29" s="256" t="s">
        <v>289</v>
      </c>
      <c r="D29" s="211" t="s">
        <v>352</v>
      </c>
      <c r="E29" s="554">
        <v>70</v>
      </c>
      <c r="F29" s="554">
        <v>210</v>
      </c>
      <c r="G29" s="554">
        <v>210</v>
      </c>
      <c r="H29" s="554">
        <v>70</v>
      </c>
      <c r="I29" s="554">
        <v>70</v>
      </c>
      <c r="J29" s="554">
        <v>70</v>
      </c>
      <c r="K29" s="554">
        <v>70</v>
      </c>
    </row>
    <row r="30" spans="1:11" ht="12.75">
      <c r="A30" s="217">
        <v>26</v>
      </c>
      <c r="B30" s="218">
        <v>5</v>
      </c>
      <c r="C30" s="219" t="s">
        <v>95</v>
      </c>
      <c r="D30" s="220"/>
      <c r="E30" s="626">
        <f aca="true" t="shared" si="7" ref="E30:K30">E31</f>
        <v>1214.58</v>
      </c>
      <c r="F30" s="626">
        <f t="shared" si="7"/>
        <v>1182.76</v>
      </c>
      <c r="G30" s="626">
        <f t="shared" si="7"/>
        <v>1400</v>
      </c>
      <c r="H30" s="626">
        <f t="shared" si="7"/>
        <v>650</v>
      </c>
      <c r="I30" s="626">
        <f t="shared" si="7"/>
        <v>1400</v>
      </c>
      <c r="J30" s="626">
        <f t="shared" si="7"/>
        <v>1400</v>
      </c>
      <c r="K30" s="626">
        <f t="shared" si="7"/>
        <v>1400</v>
      </c>
    </row>
    <row r="31" spans="1:11" ht="12.75">
      <c r="A31" s="217">
        <v>27</v>
      </c>
      <c r="B31" s="222" t="s">
        <v>249</v>
      </c>
      <c r="C31" s="252" t="s">
        <v>624</v>
      </c>
      <c r="D31" s="247"/>
      <c r="E31" s="624">
        <f>E32+E33</f>
        <v>1214.58</v>
      </c>
      <c r="F31" s="624">
        <f aca="true" t="shared" si="8" ref="F31:K31">F32+F33</f>
        <v>1182.76</v>
      </c>
      <c r="G31" s="624">
        <f t="shared" si="8"/>
        <v>1400</v>
      </c>
      <c r="H31" s="624">
        <f t="shared" si="8"/>
        <v>650</v>
      </c>
      <c r="I31" s="624">
        <f t="shared" si="8"/>
        <v>1400</v>
      </c>
      <c r="J31" s="624">
        <f t="shared" si="8"/>
        <v>1400</v>
      </c>
      <c r="K31" s="624">
        <f t="shared" si="8"/>
        <v>1400</v>
      </c>
    </row>
    <row r="32" spans="1:11" ht="12.75">
      <c r="A32" s="217">
        <v>28</v>
      </c>
      <c r="B32" s="226"/>
      <c r="C32" s="227" t="s">
        <v>289</v>
      </c>
      <c r="D32" s="259" t="s">
        <v>147</v>
      </c>
      <c r="E32" s="554">
        <v>1092</v>
      </c>
      <c r="F32" s="554">
        <v>1068.12</v>
      </c>
      <c r="G32" s="554">
        <v>1200</v>
      </c>
      <c r="H32" s="554">
        <v>500</v>
      </c>
      <c r="I32" s="554">
        <v>1200</v>
      </c>
      <c r="J32" s="554">
        <v>1200</v>
      </c>
      <c r="K32" s="554">
        <v>1200</v>
      </c>
    </row>
    <row r="33" spans="1:11" ht="12.75">
      <c r="A33" s="217">
        <v>29</v>
      </c>
      <c r="B33" s="226"/>
      <c r="C33" s="249" t="s">
        <v>289</v>
      </c>
      <c r="D33" s="240" t="s">
        <v>114</v>
      </c>
      <c r="E33" s="553">
        <v>122.58</v>
      </c>
      <c r="F33" s="553">
        <v>114.64</v>
      </c>
      <c r="G33" s="553">
        <v>200</v>
      </c>
      <c r="H33" s="553">
        <v>150</v>
      </c>
      <c r="I33" s="553">
        <v>200</v>
      </c>
      <c r="J33" s="553">
        <v>200</v>
      </c>
      <c r="K33" s="553">
        <v>200</v>
      </c>
    </row>
    <row r="34" spans="1:11" ht="12.75">
      <c r="A34" s="217">
        <v>30</v>
      </c>
      <c r="B34" s="231">
        <v>6</v>
      </c>
      <c r="C34" s="232" t="s">
        <v>96</v>
      </c>
      <c r="D34" s="233"/>
      <c r="E34" s="629">
        <f aca="true" t="shared" si="9" ref="E34:K34">E35</f>
        <v>7427.77</v>
      </c>
      <c r="F34" s="629">
        <f t="shared" si="9"/>
        <v>7774.129999999999</v>
      </c>
      <c r="G34" s="629">
        <f>G35</f>
        <v>6745</v>
      </c>
      <c r="H34" s="629">
        <f t="shared" si="9"/>
        <v>10349.56</v>
      </c>
      <c r="I34" s="629">
        <f t="shared" si="9"/>
        <v>7400</v>
      </c>
      <c r="J34" s="629">
        <f t="shared" si="9"/>
        <v>7400</v>
      </c>
      <c r="K34" s="629">
        <f t="shared" si="9"/>
        <v>7400</v>
      </c>
    </row>
    <row r="35" spans="1:11" ht="12.75">
      <c r="A35" s="217">
        <v>31</v>
      </c>
      <c r="B35" s="222" t="s">
        <v>249</v>
      </c>
      <c r="C35" s="246" t="s">
        <v>624</v>
      </c>
      <c r="D35" s="247"/>
      <c r="E35" s="627">
        <f>E36+E37+E38+E39+E40+E43+E44</f>
        <v>7427.77</v>
      </c>
      <c r="F35" s="627">
        <f>F36+F37+F38+F39+F40+F43+F44</f>
        <v>7774.129999999999</v>
      </c>
      <c r="G35" s="627">
        <f>G36+G37+G38+G39+G40+G43+G44</f>
        <v>6745</v>
      </c>
      <c r="H35" s="627">
        <f>SUM(H36:H44)</f>
        <v>10349.56</v>
      </c>
      <c r="I35" s="627">
        <f>SUM(I36:I44)</f>
        <v>7400</v>
      </c>
      <c r="J35" s="627">
        <f>SUM(J36:J44)</f>
        <v>7400</v>
      </c>
      <c r="K35" s="627">
        <f>SUM(K36:K44)</f>
        <v>7400</v>
      </c>
    </row>
    <row r="36" spans="1:11" ht="12.75">
      <c r="A36" s="217">
        <v>32</v>
      </c>
      <c r="B36" s="226"/>
      <c r="C36" s="249" t="s">
        <v>289</v>
      </c>
      <c r="D36" s="240" t="s">
        <v>555</v>
      </c>
      <c r="E36" s="553">
        <v>454.1</v>
      </c>
      <c r="F36" s="553">
        <v>872.42</v>
      </c>
      <c r="G36" s="553">
        <v>1000</v>
      </c>
      <c r="H36" s="553">
        <v>1600</v>
      </c>
      <c r="I36" s="553">
        <v>1500</v>
      </c>
      <c r="J36" s="553">
        <v>1500</v>
      </c>
      <c r="K36" s="553">
        <v>1500</v>
      </c>
    </row>
    <row r="37" spans="1:11" ht="13.5" customHeight="1">
      <c r="A37" s="217">
        <v>33</v>
      </c>
      <c r="B37" s="226"/>
      <c r="C37" s="249" t="s">
        <v>289</v>
      </c>
      <c r="D37" s="211" t="s">
        <v>247</v>
      </c>
      <c r="E37" s="553">
        <v>2133.55</v>
      </c>
      <c r="F37" s="553">
        <v>985.59</v>
      </c>
      <c r="G37" s="553">
        <v>2100</v>
      </c>
      <c r="H37" s="553">
        <v>2300</v>
      </c>
      <c r="I37" s="553">
        <v>2300</v>
      </c>
      <c r="J37" s="553">
        <v>2300</v>
      </c>
      <c r="K37" s="553">
        <v>2300</v>
      </c>
    </row>
    <row r="38" spans="1:11" ht="13.5" customHeight="1">
      <c r="A38" s="217">
        <v>34</v>
      </c>
      <c r="B38" s="226"/>
      <c r="C38" s="249" t="s">
        <v>289</v>
      </c>
      <c r="D38" s="211" t="s">
        <v>243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3">
        <v>0</v>
      </c>
      <c r="K38" s="553">
        <v>0</v>
      </c>
    </row>
    <row r="39" spans="1:11" ht="12.75">
      <c r="A39" s="217">
        <v>35</v>
      </c>
      <c r="B39" s="226"/>
      <c r="C39" s="249" t="s">
        <v>289</v>
      </c>
      <c r="D39" s="208" t="s">
        <v>556</v>
      </c>
      <c r="E39" s="553">
        <v>1915.56</v>
      </c>
      <c r="F39" s="553">
        <v>2026.56</v>
      </c>
      <c r="G39" s="553">
        <v>3000</v>
      </c>
      <c r="H39" s="553">
        <v>3500</v>
      </c>
      <c r="I39" s="553">
        <v>3000</v>
      </c>
      <c r="J39" s="553">
        <v>3000</v>
      </c>
      <c r="K39" s="553">
        <v>3000</v>
      </c>
    </row>
    <row r="40" spans="1:11" ht="12.75">
      <c r="A40" s="217">
        <v>36</v>
      </c>
      <c r="B40" s="226"/>
      <c r="C40" s="251" t="s">
        <v>289</v>
      </c>
      <c r="D40" s="208" t="s">
        <v>408</v>
      </c>
      <c r="E40" s="554">
        <v>1440</v>
      </c>
      <c r="F40" s="554">
        <v>0</v>
      </c>
      <c r="G40" s="554">
        <v>0</v>
      </c>
      <c r="H40" s="554">
        <v>0</v>
      </c>
      <c r="I40" s="554">
        <v>0</v>
      </c>
      <c r="J40" s="554">
        <v>0</v>
      </c>
      <c r="K40" s="554">
        <v>0</v>
      </c>
    </row>
    <row r="41" spans="1:11" ht="12.75">
      <c r="A41" s="217"/>
      <c r="B41" s="226"/>
      <c r="C41" s="251" t="s">
        <v>289</v>
      </c>
      <c r="D41" s="208" t="s">
        <v>557</v>
      </c>
      <c r="E41" s="554">
        <v>0</v>
      </c>
      <c r="F41" s="554">
        <v>0</v>
      </c>
      <c r="G41" s="554">
        <v>0</v>
      </c>
      <c r="H41" s="554">
        <v>2000</v>
      </c>
      <c r="I41" s="554">
        <v>0</v>
      </c>
      <c r="J41" s="554">
        <v>0</v>
      </c>
      <c r="K41" s="554">
        <v>0</v>
      </c>
    </row>
    <row r="42" spans="1:11" ht="12.75">
      <c r="A42" s="217"/>
      <c r="B42" s="226"/>
      <c r="C42" s="251" t="s">
        <v>289</v>
      </c>
      <c r="D42" s="208" t="s">
        <v>558</v>
      </c>
      <c r="E42" s="554">
        <v>0</v>
      </c>
      <c r="F42" s="554">
        <v>0</v>
      </c>
      <c r="G42" s="554">
        <v>0</v>
      </c>
      <c r="H42" s="554">
        <v>420</v>
      </c>
      <c r="I42" s="554">
        <v>0</v>
      </c>
      <c r="J42" s="554">
        <v>0</v>
      </c>
      <c r="K42" s="554">
        <v>0</v>
      </c>
    </row>
    <row r="43" spans="1:11" ht="33.75">
      <c r="A43" s="217">
        <v>37</v>
      </c>
      <c r="B43" s="226"/>
      <c r="C43" s="251" t="s">
        <v>289</v>
      </c>
      <c r="D43" s="209" t="s">
        <v>409</v>
      </c>
      <c r="E43" s="554">
        <v>529.56</v>
      </c>
      <c r="F43" s="554">
        <v>529.56</v>
      </c>
      <c r="G43" s="554">
        <v>645</v>
      </c>
      <c r="H43" s="554">
        <v>529.56</v>
      </c>
      <c r="I43" s="554">
        <v>600</v>
      </c>
      <c r="J43" s="554">
        <v>600</v>
      </c>
      <c r="K43" s="554">
        <v>600</v>
      </c>
    </row>
    <row r="44" spans="1:11" ht="12.75">
      <c r="A44" s="217">
        <v>38</v>
      </c>
      <c r="B44" s="226"/>
      <c r="C44" s="230" t="s">
        <v>289</v>
      </c>
      <c r="D44" s="259" t="s">
        <v>425</v>
      </c>
      <c r="E44" s="630">
        <v>955</v>
      </c>
      <c r="F44" s="630">
        <v>3360</v>
      </c>
      <c r="G44" s="630">
        <v>0</v>
      </c>
      <c r="H44" s="630">
        <v>0</v>
      </c>
      <c r="I44" s="630">
        <v>0</v>
      </c>
      <c r="J44" s="630">
        <v>0</v>
      </c>
      <c r="K44" s="630">
        <v>0</v>
      </c>
    </row>
    <row r="45" spans="1:11" ht="12.75">
      <c r="A45" s="217">
        <v>39</v>
      </c>
      <c r="B45" s="231">
        <v>7</v>
      </c>
      <c r="C45" s="232" t="s">
        <v>75</v>
      </c>
      <c r="D45" s="233"/>
      <c r="E45" s="629">
        <f aca="true" t="shared" si="10" ref="E45:K45">E46</f>
        <v>5455.990000000001</v>
      </c>
      <c r="F45" s="629">
        <f t="shared" si="10"/>
        <v>4668.07</v>
      </c>
      <c r="G45" s="629">
        <f t="shared" si="10"/>
        <v>2650</v>
      </c>
      <c r="H45" s="629">
        <f t="shared" si="10"/>
        <v>3820</v>
      </c>
      <c r="I45" s="629">
        <f t="shared" si="10"/>
        <v>3500</v>
      </c>
      <c r="J45" s="629">
        <f t="shared" si="10"/>
        <v>3500</v>
      </c>
      <c r="K45" s="629">
        <f t="shared" si="10"/>
        <v>3500</v>
      </c>
    </row>
    <row r="46" spans="1:11" ht="12.75">
      <c r="A46" s="217">
        <v>40</v>
      </c>
      <c r="B46" s="235" t="s">
        <v>249</v>
      </c>
      <c r="C46" s="246" t="s">
        <v>624</v>
      </c>
      <c r="D46" s="247"/>
      <c r="E46" s="627">
        <f>E47+E48+E49+E50+E51</f>
        <v>5455.990000000001</v>
      </c>
      <c r="F46" s="627">
        <f aca="true" t="shared" si="11" ref="F46:K46">F47+F48+F49+F50+F51</f>
        <v>4668.07</v>
      </c>
      <c r="G46" s="627">
        <f t="shared" si="11"/>
        <v>2650</v>
      </c>
      <c r="H46" s="627">
        <f t="shared" si="11"/>
        <v>3820</v>
      </c>
      <c r="I46" s="627">
        <f t="shared" si="11"/>
        <v>3500</v>
      </c>
      <c r="J46" s="627">
        <f t="shared" si="11"/>
        <v>3500</v>
      </c>
      <c r="K46" s="627">
        <f t="shared" si="11"/>
        <v>3500</v>
      </c>
    </row>
    <row r="47" spans="1:11" ht="12.75">
      <c r="A47" s="217">
        <v>41</v>
      </c>
      <c r="B47" s="262"/>
      <c r="C47" s="251" t="s">
        <v>289</v>
      </c>
      <c r="D47" s="228" t="s">
        <v>383</v>
      </c>
      <c r="E47" s="554">
        <v>1359.89</v>
      </c>
      <c r="F47" s="554">
        <v>1655.71</v>
      </c>
      <c r="G47" s="554">
        <v>1000</v>
      </c>
      <c r="H47" s="554">
        <v>1380</v>
      </c>
      <c r="I47" s="554">
        <v>1350</v>
      </c>
      <c r="J47" s="554">
        <v>1350</v>
      </c>
      <c r="K47" s="554">
        <v>1350</v>
      </c>
    </row>
    <row r="48" spans="1:11" ht="12.75">
      <c r="A48" s="217">
        <v>42</v>
      </c>
      <c r="B48" s="262"/>
      <c r="C48" s="251" t="s">
        <v>289</v>
      </c>
      <c r="D48" s="228" t="s">
        <v>384</v>
      </c>
      <c r="E48" s="554">
        <v>559.98</v>
      </c>
      <c r="F48" s="554">
        <v>390</v>
      </c>
      <c r="G48" s="554">
        <v>500</v>
      </c>
      <c r="H48" s="554">
        <v>450</v>
      </c>
      <c r="I48" s="554">
        <v>500</v>
      </c>
      <c r="J48" s="554">
        <v>500</v>
      </c>
      <c r="K48" s="554">
        <v>500</v>
      </c>
    </row>
    <row r="49" spans="1:11" ht="12.75">
      <c r="A49" s="217">
        <v>43</v>
      </c>
      <c r="B49" s="262"/>
      <c r="C49" s="251" t="s">
        <v>289</v>
      </c>
      <c r="D49" s="250" t="s">
        <v>340</v>
      </c>
      <c r="E49" s="554">
        <v>3336.61</v>
      </c>
      <c r="F49" s="554">
        <v>2136.93</v>
      </c>
      <c r="G49" s="554">
        <v>500</v>
      </c>
      <c r="H49" s="554">
        <v>1500</v>
      </c>
      <c r="I49" s="554">
        <v>1000</v>
      </c>
      <c r="J49" s="554">
        <v>1000</v>
      </c>
      <c r="K49" s="554">
        <v>1000</v>
      </c>
    </row>
    <row r="50" spans="1:11" ht="12.75">
      <c r="A50" s="217">
        <v>44</v>
      </c>
      <c r="B50" s="262"/>
      <c r="C50" s="251" t="s">
        <v>289</v>
      </c>
      <c r="D50" s="250" t="s">
        <v>148</v>
      </c>
      <c r="E50" s="631">
        <v>50</v>
      </c>
      <c r="F50" s="631">
        <v>50</v>
      </c>
      <c r="G50" s="631">
        <v>50</v>
      </c>
      <c r="H50" s="631">
        <v>50</v>
      </c>
      <c r="I50" s="631">
        <v>50</v>
      </c>
      <c r="J50" s="631">
        <v>50</v>
      </c>
      <c r="K50" s="631">
        <v>50</v>
      </c>
    </row>
    <row r="51" spans="1:11" ht="13.5" thickBot="1">
      <c r="A51" s="217">
        <v>45</v>
      </c>
      <c r="B51" s="265"/>
      <c r="C51" s="266" t="s">
        <v>289</v>
      </c>
      <c r="D51" s="1114" t="s">
        <v>559</v>
      </c>
      <c r="E51" s="577">
        <v>149.51</v>
      </c>
      <c r="F51" s="577">
        <v>435.43</v>
      </c>
      <c r="G51" s="577">
        <v>600</v>
      </c>
      <c r="H51" s="577">
        <v>440</v>
      </c>
      <c r="I51" s="577">
        <v>600</v>
      </c>
      <c r="J51" s="577">
        <v>600</v>
      </c>
      <c r="K51" s="577">
        <v>600</v>
      </c>
    </row>
    <row r="52" spans="1:12" s="64" customFormat="1" ht="15" thickBot="1">
      <c r="A52" s="23"/>
      <c r="B52" s="204" t="s">
        <v>294</v>
      </c>
      <c r="C52"/>
      <c r="D52"/>
      <c r="E52"/>
      <c r="F52"/>
      <c r="G52"/>
      <c r="H52"/>
      <c r="I52" s="47"/>
      <c r="L52" s="47"/>
    </row>
    <row r="53" spans="1:12" s="64" customFormat="1" ht="15.75" thickBot="1">
      <c r="A53" s="1248" t="s">
        <v>10</v>
      </c>
      <c r="B53" s="1249"/>
      <c r="C53" s="1249"/>
      <c r="D53" s="1249"/>
      <c r="E53" s="508" t="s">
        <v>368</v>
      </c>
      <c r="F53" s="508" t="s">
        <v>368</v>
      </c>
      <c r="G53" s="121" t="s">
        <v>369</v>
      </c>
      <c r="H53" s="121" t="s">
        <v>286</v>
      </c>
      <c r="I53" s="535" t="s">
        <v>13</v>
      </c>
      <c r="J53" s="513" t="s">
        <v>13</v>
      </c>
      <c r="K53" s="512" t="s">
        <v>13</v>
      </c>
      <c r="L53" s="47"/>
    </row>
    <row r="54" spans="1:12" s="64" customFormat="1" ht="12.75">
      <c r="A54" s="124"/>
      <c r="B54" s="125"/>
      <c r="C54" s="126"/>
      <c r="D54" s="127"/>
      <c r="E54" s="193"/>
      <c r="F54" s="193"/>
      <c r="G54" s="510" t="s">
        <v>285</v>
      </c>
      <c r="H54" s="510" t="s">
        <v>287</v>
      </c>
      <c r="I54" s="536"/>
      <c r="J54" s="1079" t="s">
        <v>505</v>
      </c>
      <c r="K54" s="1079" t="s">
        <v>505</v>
      </c>
      <c r="L54" s="47"/>
    </row>
    <row r="55" spans="1:12" s="64" customFormat="1" ht="15.75">
      <c r="A55" s="128"/>
      <c r="B55" s="52" t="s">
        <v>9</v>
      </c>
      <c r="C55" s="205" t="s">
        <v>292</v>
      </c>
      <c r="D55" s="130"/>
      <c r="E55" s="509" t="s">
        <v>366</v>
      </c>
      <c r="F55" s="509" t="s">
        <v>367</v>
      </c>
      <c r="G55" s="511">
        <v>2020</v>
      </c>
      <c r="H55" s="196" t="s">
        <v>373</v>
      </c>
      <c r="I55" s="537">
        <v>2021</v>
      </c>
      <c r="J55" s="515" t="s">
        <v>432</v>
      </c>
      <c r="K55" s="514">
        <v>2023</v>
      </c>
      <c r="L55" s="47"/>
    </row>
    <row r="56" spans="1:12" s="64" customFormat="1" ht="13.5" thickBot="1">
      <c r="A56" s="307"/>
      <c r="B56" s="207" t="s">
        <v>74</v>
      </c>
      <c r="C56" s="207" t="s">
        <v>74</v>
      </c>
      <c r="D56" s="523" t="s">
        <v>5</v>
      </c>
      <c r="E56" s="198" t="s">
        <v>276</v>
      </c>
      <c r="F56" s="198" t="s">
        <v>276</v>
      </c>
      <c r="G56" s="199" t="s">
        <v>276</v>
      </c>
      <c r="H56" s="199" t="s">
        <v>276</v>
      </c>
      <c r="I56" s="538" t="s">
        <v>276</v>
      </c>
      <c r="J56" s="517" t="s">
        <v>276</v>
      </c>
      <c r="K56" s="516" t="s">
        <v>276</v>
      </c>
      <c r="L56" s="47"/>
    </row>
    <row r="57" spans="1:11" ht="18" customHeight="1" thickBot="1" thickTop="1">
      <c r="A57" s="212">
        <v>1</v>
      </c>
      <c r="B57" s="218">
        <v>4</v>
      </c>
      <c r="C57" s="433" t="s">
        <v>86</v>
      </c>
      <c r="D57" s="220"/>
      <c r="E57" s="430">
        <f>E58</f>
        <v>155767.75999999998</v>
      </c>
      <c r="F57" s="430">
        <f>F58</f>
        <v>10880</v>
      </c>
      <c r="G57" s="430">
        <f aca="true" t="shared" si="12" ref="G57:K58">G58</f>
        <v>442994</v>
      </c>
      <c r="H57" s="430">
        <f t="shared" si="12"/>
        <v>45284</v>
      </c>
      <c r="I57" s="430">
        <f t="shared" si="12"/>
        <v>647994</v>
      </c>
      <c r="J57" s="430">
        <f t="shared" si="12"/>
        <v>0</v>
      </c>
      <c r="K57" s="430">
        <f t="shared" si="12"/>
        <v>0</v>
      </c>
    </row>
    <row r="58" spans="1:12" s="64" customFormat="1" ht="24.75" customHeight="1" thickBot="1" thickTop="1">
      <c r="A58" s="212">
        <v>2</v>
      </c>
      <c r="B58" s="213" t="s">
        <v>116</v>
      </c>
      <c r="C58" s="214"/>
      <c r="D58" s="55"/>
      <c r="E58" s="431">
        <f>E59</f>
        <v>155767.75999999998</v>
      </c>
      <c r="F58" s="431">
        <f>F59</f>
        <v>10880</v>
      </c>
      <c r="G58" s="431">
        <f t="shared" si="12"/>
        <v>442994</v>
      </c>
      <c r="H58" s="431">
        <f t="shared" si="12"/>
        <v>45284</v>
      </c>
      <c r="I58" s="431">
        <f t="shared" si="12"/>
        <v>647994</v>
      </c>
      <c r="J58" s="431">
        <f t="shared" si="12"/>
        <v>0</v>
      </c>
      <c r="K58" s="431">
        <f t="shared" si="12"/>
        <v>0</v>
      </c>
      <c r="L58" s="47"/>
    </row>
    <row r="59" spans="1:12" s="505" customFormat="1" ht="24.75" customHeight="1" thickTop="1">
      <c r="A59" s="576">
        <v>3</v>
      </c>
      <c r="B59" s="253" t="s">
        <v>250</v>
      </c>
      <c r="C59" s="654" t="s">
        <v>157</v>
      </c>
      <c r="D59" s="255"/>
      <c r="E59" s="432">
        <f>E60+E61+E62</f>
        <v>155767.75999999998</v>
      </c>
      <c r="F59" s="432">
        <f>F60+F61+F62</f>
        <v>10880</v>
      </c>
      <c r="G59" s="432">
        <f>SUM(G60:G69)</f>
        <v>442994</v>
      </c>
      <c r="H59" s="432">
        <f>SUM(H60:H69)</f>
        <v>45284</v>
      </c>
      <c r="I59" s="432">
        <f>SUM(I60:I69)</f>
        <v>647994</v>
      </c>
      <c r="J59" s="432">
        <f>SUM(J60:J69)</f>
        <v>0</v>
      </c>
      <c r="K59" s="432">
        <f>SUM(K60:K69)</f>
        <v>0</v>
      </c>
      <c r="L59" s="655"/>
    </row>
    <row r="60" spans="1:11" ht="28.5" customHeight="1">
      <c r="A60" s="576">
        <v>4</v>
      </c>
      <c r="B60" s="428"/>
      <c r="C60" s="249" t="s">
        <v>295</v>
      </c>
      <c r="D60" s="1173" t="s">
        <v>296</v>
      </c>
      <c r="E60" s="553">
        <f>6494.58+18815+4950+24993.6+12412.72+14752.84+14957.2</f>
        <v>97375.93999999999</v>
      </c>
      <c r="F60" s="553">
        <v>10880</v>
      </c>
      <c r="G60" s="553">
        <v>0</v>
      </c>
      <c r="H60" s="553">
        <v>0</v>
      </c>
      <c r="I60" s="553">
        <v>0</v>
      </c>
      <c r="J60" s="553">
        <v>0</v>
      </c>
      <c r="K60" s="553">
        <v>0</v>
      </c>
    </row>
    <row r="61" spans="1:11" ht="29.25">
      <c r="A61" s="258">
        <v>5</v>
      </c>
      <c r="B61" s="226"/>
      <c r="C61" s="256" t="s">
        <v>295</v>
      </c>
      <c r="D61" s="1174" t="s">
        <v>433</v>
      </c>
      <c r="E61" s="553">
        <v>0</v>
      </c>
      <c r="F61" s="553">
        <v>0</v>
      </c>
      <c r="G61" s="553">
        <v>0</v>
      </c>
      <c r="H61" s="553">
        <v>360</v>
      </c>
      <c r="I61" s="553">
        <v>0</v>
      </c>
      <c r="J61" s="553">
        <v>0</v>
      </c>
      <c r="K61" s="553">
        <v>0</v>
      </c>
    </row>
    <row r="62" spans="1:11" ht="30" customHeight="1">
      <c r="A62" s="258">
        <v>6</v>
      </c>
      <c r="B62" s="257"/>
      <c r="C62" s="251" t="s">
        <v>295</v>
      </c>
      <c r="D62" s="1174" t="s">
        <v>279</v>
      </c>
      <c r="E62" s="554">
        <v>58391.82</v>
      </c>
      <c r="F62" s="554">
        <v>0</v>
      </c>
      <c r="G62" s="554">
        <v>0</v>
      </c>
      <c r="H62" s="554">
        <v>0</v>
      </c>
      <c r="I62" s="554">
        <v>0</v>
      </c>
      <c r="J62" s="554">
        <v>0</v>
      </c>
      <c r="K62" s="554">
        <v>0</v>
      </c>
    </row>
    <row r="63" spans="1:12" s="64" customFormat="1" ht="12.75">
      <c r="A63" s="258">
        <v>7</v>
      </c>
      <c r="B63" s="257"/>
      <c r="C63" s="251" t="s">
        <v>295</v>
      </c>
      <c r="D63" s="1174" t="s">
        <v>529</v>
      </c>
      <c r="E63" s="554">
        <v>0</v>
      </c>
      <c r="F63" s="554">
        <v>0</v>
      </c>
      <c r="G63" s="554">
        <v>180000</v>
      </c>
      <c r="H63" s="554">
        <v>0</v>
      </c>
      <c r="I63" s="554">
        <v>0</v>
      </c>
      <c r="J63" s="554">
        <v>0</v>
      </c>
      <c r="K63" s="554">
        <v>0</v>
      </c>
      <c r="L63" s="47"/>
    </row>
    <row r="64" spans="1:12" s="64" customFormat="1" ht="19.5">
      <c r="A64" s="258">
        <v>8</v>
      </c>
      <c r="B64" s="257"/>
      <c r="C64" s="251" t="s">
        <v>295</v>
      </c>
      <c r="D64" s="1174" t="s">
        <v>526</v>
      </c>
      <c r="E64" s="554">
        <v>0</v>
      </c>
      <c r="F64" s="554">
        <v>0</v>
      </c>
      <c r="G64" s="554">
        <v>20000</v>
      </c>
      <c r="H64" s="554">
        <v>0</v>
      </c>
      <c r="I64" s="554">
        <v>0</v>
      </c>
      <c r="J64" s="554">
        <v>0</v>
      </c>
      <c r="K64" s="554">
        <v>0</v>
      </c>
      <c r="L64" s="47"/>
    </row>
    <row r="65" spans="1:12" s="64" customFormat="1" ht="19.5">
      <c r="A65" s="258">
        <v>9</v>
      </c>
      <c r="B65" s="257"/>
      <c r="C65" s="251" t="s">
        <v>295</v>
      </c>
      <c r="D65" s="1175" t="s">
        <v>497</v>
      </c>
      <c r="E65" s="554">
        <v>0</v>
      </c>
      <c r="F65" s="554">
        <v>0</v>
      </c>
      <c r="G65" s="554">
        <v>180000</v>
      </c>
      <c r="H65" s="554">
        <v>0</v>
      </c>
      <c r="I65" s="1172">
        <v>500000</v>
      </c>
      <c r="J65" s="554">
        <v>0</v>
      </c>
      <c r="K65" s="554">
        <v>0</v>
      </c>
      <c r="L65" s="47"/>
    </row>
    <row r="66" spans="1:12" s="64" customFormat="1" ht="19.5">
      <c r="A66" s="258">
        <v>10</v>
      </c>
      <c r="B66" s="257"/>
      <c r="C66" s="251" t="s">
        <v>295</v>
      </c>
      <c r="D66" s="1175" t="s">
        <v>581</v>
      </c>
      <c r="E66" s="554">
        <v>0</v>
      </c>
      <c r="F66" s="554">
        <v>0</v>
      </c>
      <c r="G66" s="554">
        <v>20000</v>
      </c>
      <c r="H66" s="554">
        <v>1930</v>
      </c>
      <c r="I66" s="1172">
        <f>I65*5%</f>
        <v>25000</v>
      </c>
      <c r="J66" s="554">
        <v>0</v>
      </c>
      <c r="K66" s="554">
        <v>0</v>
      </c>
      <c r="L66" s="633" t="s">
        <v>611</v>
      </c>
    </row>
    <row r="67" spans="1:12" s="64" customFormat="1" ht="19.5">
      <c r="A67" s="258"/>
      <c r="B67" s="257"/>
      <c r="C67" s="251" t="s">
        <v>295</v>
      </c>
      <c r="D67" s="1176" t="s">
        <v>610</v>
      </c>
      <c r="E67" s="554">
        <v>0</v>
      </c>
      <c r="F67" s="554">
        <v>0</v>
      </c>
      <c r="G67" s="554">
        <v>0</v>
      </c>
      <c r="H67" s="554">
        <v>0</v>
      </c>
      <c r="I67" s="1172">
        <v>80000</v>
      </c>
      <c r="J67" s="554">
        <v>0</v>
      </c>
      <c r="K67" s="554">
        <v>0</v>
      </c>
      <c r="L67" s="633" t="s">
        <v>612</v>
      </c>
    </row>
    <row r="68" spans="1:12" s="64" customFormat="1" ht="29.25">
      <c r="A68" s="258">
        <v>11</v>
      </c>
      <c r="B68" s="257"/>
      <c r="C68" s="251" t="s">
        <v>295</v>
      </c>
      <c r="D68" s="1174" t="s">
        <v>498</v>
      </c>
      <c r="E68" s="554">
        <v>0</v>
      </c>
      <c r="F68" s="554">
        <v>0</v>
      </c>
      <c r="G68" s="554">
        <v>36190</v>
      </c>
      <c r="H68" s="554">
        <v>36190</v>
      </c>
      <c r="I68" s="554">
        <v>36190</v>
      </c>
      <c r="J68" s="554">
        <v>0</v>
      </c>
      <c r="K68" s="554">
        <v>0</v>
      </c>
      <c r="L68" s="47"/>
    </row>
    <row r="69" spans="1:12" s="64" customFormat="1" ht="29.25">
      <c r="A69" s="258">
        <v>12</v>
      </c>
      <c r="B69" s="257"/>
      <c r="C69" s="251" t="s">
        <v>295</v>
      </c>
      <c r="D69" s="1174" t="s">
        <v>499</v>
      </c>
      <c r="E69" s="554">
        <v>0</v>
      </c>
      <c r="F69" s="554">
        <v>0</v>
      </c>
      <c r="G69" s="554">
        <v>6804</v>
      </c>
      <c r="H69" s="554">
        <v>6804</v>
      </c>
      <c r="I69" s="554">
        <v>6804</v>
      </c>
      <c r="J69" s="554">
        <v>0</v>
      </c>
      <c r="K69" s="554">
        <v>0</v>
      </c>
      <c r="L69" s="633" t="s">
        <v>634</v>
      </c>
    </row>
    <row r="70" spans="1:12" s="64" customFormat="1" ht="12.75">
      <c r="A70" s="48"/>
      <c r="B70" s="156"/>
      <c r="L70" s="47"/>
    </row>
    <row r="71" spans="1:12" s="64" customFormat="1" ht="12.75">
      <c r="A71" s="48"/>
      <c r="B71" s="169"/>
      <c r="L71" s="47"/>
    </row>
    <row r="72" spans="1:12" s="64" customFormat="1" ht="12.75">
      <c r="A72" s="48"/>
      <c r="B72" s="156"/>
      <c r="L72" s="47"/>
    </row>
    <row r="73" spans="1:12" s="64" customFormat="1" ht="12.75">
      <c r="A73" s="48"/>
      <c r="B73" s="156"/>
      <c r="L73" s="47"/>
    </row>
    <row r="74" spans="1:12" s="64" customFormat="1" ht="12.75">
      <c r="A74" s="48"/>
      <c r="B74" s="156"/>
      <c r="L74" s="47"/>
    </row>
  </sheetData>
  <sheetProtection/>
  <mergeCells count="2">
    <mergeCell ref="A2:D2"/>
    <mergeCell ref="A53:D5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130" zoomScaleNormal="130" zoomScalePageLayoutView="0" workbookViewId="0" topLeftCell="A1">
      <pane ySplit="5" topLeftCell="A27" activePane="bottomLeft" state="frozen"/>
      <selection pane="topLeft" activeCell="A1" sqref="A1"/>
      <selection pane="bottomLeft" activeCell="Q19" sqref="Q19"/>
    </sheetView>
  </sheetViews>
  <sheetFormatPr defaultColWidth="2.7109375" defaultRowHeight="12.75"/>
  <cols>
    <col min="1" max="1" width="3.00390625" style="0" customWidth="1"/>
    <col min="2" max="2" width="5.7109375" style="0" customWidth="1"/>
    <col min="3" max="3" width="7.57421875" style="0" customWidth="1"/>
    <col min="4" max="4" width="25.574218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7.421875" style="0" bestFit="1" customWidth="1"/>
    <col min="10" max="10" width="8.28125" style="0" bestFit="1" customWidth="1"/>
    <col min="11" max="11" width="7.421875" style="0" bestFit="1" customWidth="1"/>
    <col min="12" max="13" width="2.7109375" style="0" customWidth="1"/>
    <col min="14" max="14" width="10.7109375" style="0" customWidth="1"/>
    <col min="15" max="16" width="2.7109375" style="0" customWidth="1"/>
    <col min="17" max="17" width="8.421875" style="0" customWidth="1"/>
  </cols>
  <sheetData>
    <row r="1" spans="1:2" ht="15" thickBot="1">
      <c r="A1" s="23"/>
      <c r="B1" s="204" t="s">
        <v>297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4"/>
      <c r="B3" s="125"/>
      <c r="C3" s="126"/>
      <c r="D3" s="298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51" t="s">
        <v>9</v>
      </c>
      <c r="C4" s="129" t="s">
        <v>303</v>
      </c>
      <c r="D4" s="299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307"/>
      <c r="B5" s="53" t="s">
        <v>74</v>
      </c>
      <c r="C5" s="132" t="s">
        <v>74</v>
      </c>
      <c r="D5" s="302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ht="14.25" thickBot="1" thickTop="1">
      <c r="A6" s="35">
        <v>1</v>
      </c>
      <c r="B6" s="213" t="s">
        <v>115</v>
      </c>
      <c r="C6" s="283"/>
      <c r="D6" s="74"/>
      <c r="E6" s="284">
        <f>E7+E12+E17+E23</f>
        <v>7633.790000000001</v>
      </c>
      <c r="F6" s="284">
        <f aca="true" t="shared" si="0" ref="F6:K6">F7+F12+F17+F23</f>
        <v>8303.03</v>
      </c>
      <c r="G6" s="284">
        <f t="shared" si="0"/>
        <v>8546.89</v>
      </c>
      <c r="H6" s="284">
        <f t="shared" si="0"/>
        <v>7415.95</v>
      </c>
      <c r="I6" s="284">
        <f t="shared" si="0"/>
        <v>7576.92</v>
      </c>
      <c r="J6" s="284">
        <f t="shared" si="0"/>
        <v>7576.92</v>
      </c>
      <c r="K6" s="284">
        <f t="shared" si="0"/>
        <v>7576.92</v>
      </c>
    </row>
    <row r="7" spans="1:11" ht="13.5" thickTop="1">
      <c r="A7" s="36">
        <v>2</v>
      </c>
      <c r="B7" s="285">
        <v>1</v>
      </c>
      <c r="C7" s="286" t="s">
        <v>82</v>
      </c>
      <c r="D7" s="58"/>
      <c r="E7" s="287">
        <f aca="true" t="shared" si="1" ref="E7:K7">E8</f>
        <v>2019.92</v>
      </c>
      <c r="F7" s="287">
        <f t="shared" si="1"/>
        <v>2237.95</v>
      </c>
      <c r="G7" s="287">
        <f t="shared" si="1"/>
        <v>2237.92</v>
      </c>
      <c r="H7" s="287">
        <f t="shared" si="1"/>
        <v>2407.58</v>
      </c>
      <c r="I7" s="287">
        <f t="shared" si="1"/>
        <v>2141.55</v>
      </c>
      <c r="J7" s="287">
        <f t="shared" si="1"/>
        <v>2141.55</v>
      </c>
      <c r="K7" s="287">
        <f t="shared" si="1"/>
        <v>2141.55</v>
      </c>
    </row>
    <row r="8" spans="1:11" ht="12.75">
      <c r="A8" s="36">
        <v>3</v>
      </c>
      <c r="B8" s="60" t="s">
        <v>158</v>
      </c>
      <c r="C8" s="288" t="s">
        <v>222</v>
      </c>
      <c r="D8" s="289"/>
      <c r="E8" s="76">
        <f>SUM(E9:E11)</f>
        <v>2019.92</v>
      </c>
      <c r="F8" s="76">
        <f aca="true" t="shared" si="2" ref="F8:K8">SUM(F9:F11)</f>
        <v>2237.95</v>
      </c>
      <c r="G8" s="76">
        <f t="shared" si="2"/>
        <v>2237.92</v>
      </c>
      <c r="H8" s="76">
        <f>SUM(H9:H11)</f>
        <v>2407.58</v>
      </c>
      <c r="I8" s="76">
        <f t="shared" si="2"/>
        <v>2141.55</v>
      </c>
      <c r="J8" s="76">
        <f t="shared" si="2"/>
        <v>2141.55</v>
      </c>
      <c r="K8" s="76">
        <f t="shared" si="2"/>
        <v>2141.55</v>
      </c>
    </row>
    <row r="9" spans="1:11" ht="12.75">
      <c r="A9" s="36">
        <v>4</v>
      </c>
      <c r="B9" s="308"/>
      <c r="C9" s="116">
        <v>610</v>
      </c>
      <c r="D9" s="95" t="s">
        <v>298</v>
      </c>
      <c r="E9" s="97">
        <v>904.79</v>
      </c>
      <c r="F9" s="97">
        <v>1094.5</v>
      </c>
      <c r="G9" s="97">
        <v>1094.5</v>
      </c>
      <c r="H9" s="437">
        <v>1191.51</v>
      </c>
      <c r="I9" s="437">
        <v>994.74</v>
      </c>
      <c r="J9" s="437">
        <v>994.74</v>
      </c>
      <c r="K9" s="437">
        <v>994.74</v>
      </c>
    </row>
    <row r="10" spans="1:14" ht="12.75">
      <c r="A10" s="36">
        <v>5</v>
      </c>
      <c r="B10" s="308"/>
      <c r="C10" s="309">
        <v>620</v>
      </c>
      <c r="D10" s="95" t="s">
        <v>346</v>
      </c>
      <c r="E10" s="97">
        <v>318.48</v>
      </c>
      <c r="F10" s="97">
        <v>346.8</v>
      </c>
      <c r="G10" s="97">
        <v>346.77</v>
      </c>
      <c r="H10" s="437">
        <v>419.42</v>
      </c>
      <c r="I10" s="437">
        <v>350.16</v>
      </c>
      <c r="J10" s="437">
        <v>350.16</v>
      </c>
      <c r="K10" s="437">
        <v>350.16</v>
      </c>
      <c r="N10" s="17"/>
    </row>
    <row r="11" spans="1:11" ht="12.75">
      <c r="A11" s="36">
        <v>6</v>
      </c>
      <c r="B11" s="308"/>
      <c r="C11" s="309">
        <v>630</v>
      </c>
      <c r="D11" s="95" t="s">
        <v>562</v>
      </c>
      <c r="E11" s="97">
        <v>796.65</v>
      </c>
      <c r="F11" s="97">
        <v>796.65</v>
      </c>
      <c r="G11" s="97">
        <v>796.65</v>
      </c>
      <c r="H11" s="437">
        <v>796.65</v>
      </c>
      <c r="I11" s="437">
        <v>796.65</v>
      </c>
      <c r="J11" s="437">
        <v>796.65</v>
      </c>
      <c r="K11" s="437">
        <v>796.65</v>
      </c>
    </row>
    <row r="12" spans="1:11" ht="12.75">
      <c r="A12" s="36">
        <v>7</v>
      </c>
      <c r="B12" s="285">
        <v>2</v>
      </c>
      <c r="C12" s="286" t="s">
        <v>149</v>
      </c>
      <c r="D12" s="58"/>
      <c r="E12" s="290">
        <f aca="true" t="shared" si="3" ref="E12:K12">E13</f>
        <v>717.61</v>
      </c>
      <c r="F12" s="290">
        <f t="shared" si="3"/>
        <v>1838.97</v>
      </c>
      <c r="G12" s="290">
        <f t="shared" si="3"/>
        <v>1838.97</v>
      </c>
      <c r="H12" s="290">
        <f t="shared" si="3"/>
        <v>750.37</v>
      </c>
      <c r="I12" s="290">
        <f t="shared" si="3"/>
        <v>750.37</v>
      </c>
      <c r="J12" s="290">
        <f t="shared" si="3"/>
        <v>750.37</v>
      </c>
      <c r="K12" s="290">
        <f t="shared" si="3"/>
        <v>750.37</v>
      </c>
    </row>
    <row r="13" spans="1:11" ht="12.75">
      <c r="A13" s="268">
        <v>8</v>
      </c>
      <c r="B13" s="296" t="s">
        <v>251</v>
      </c>
      <c r="C13" s="288" t="s">
        <v>223</v>
      </c>
      <c r="D13" s="300"/>
      <c r="E13" s="304">
        <f>E14+E15+E16</f>
        <v>717.61</v>
      </c>
      <c r="F13" s="304">
        <f aca="true" t="shared" si="4" ref="F13:K13">F14+F15+F16</f>
        <v>1838.97</v>
      </c>
      <c r="G13" s="304">
        <f t="shared" si="4"/>
        <v>1838.97</v>
      </c>
      <c r="H13" s="304">
        <f t="shared" si="4"/>
        <v>750.37</v>
      </c>
      <c r="I13" s="304">
        <f t="shared" si="4"/>
        <v>750.37</v>
      </c>
      <c r="J13" s="304">
        <f t="shared" si="4"/>
        <v>750.37</v>
      </c>
      <c r="K13" s="304">
        <f t="shared" si="4"/>
        <v>750.37</v>
      </c>
    </row>
    <row r="14" spans="1:11" s="49" customFormat="1" ht="12.75">
      <c r="A14" s="268">
        <v>9</v>
      </c>
      <c r="B14" s="309"/>
      <c r="C14" s="116">
        <v>630</v>
      </c>
      <c r="D14" s="301" t="s">
        <v>299</v>
      </c>
      <c r="E14" s="303">
        <v>573.21</v>
      </c>
      <c r="F14" s="303">
        <v>596.97</v>
      </c>
      <c r="G14" s="303">
        <v>596.97</v>
      </c>
      <c r="H14" s="438">
        <v>629.97</v>
      </c>
      <c r="I14" s="438">
        <f>'BP'!K76</f>
        <v>629.97</v>
      </c>
      <c r="J14" s="438">
        <f>'BP'!L76</f>
        <v>629.97</v>
      </c>
      <c r="K14" s="438">
        <f>'BP'!M76</f>
        <v>629.97</v>
      </c>
    </row>
    <row r="15" spans="1:11" s="49" customFormat="1" ht="12.75">
      <c r="A15" s="578">
        <v>10</v>
      </c>
      <c r="B15" s="309"/>
      <c r="C15" s="116">
        <v>630</v>
      </c>
      <c r="D15" s="301" t="s">
        <v>351</v>
      </c>
      <c r="E15" s="303">
        <v>144.4</v>
      </c>
      <c r="F15" s="303">
        <v>1242</v>
      </c>
      <c r="G15" s="303">
        <v>1242</v>
      </c>
      <c r="H15" s="438">
        <v>120.4</v>
      </c>
      <c r="I15" s="438">
        <f>'BP'!K77</f>
        <v>120.4</v>
      </c>
      <c r="J15" s="438">
        <f>'BP'!L77</f>
        <v>120.4</v>
      </c>
      <c r="K15" s="438">
        <f>'BP'!M77</f>
        <v>120.4</v>
      </c>
    </row>
    <row r="16" spans="1:11" s="49" customFormat="1" ht="12.75">
      <c r="A16" s="578">
        <v>11</v>
      </c>
      <c r="B16" s="309"/>
      <c r="C16" s="116">
        <v>630</v>
      </c>
      <c r="D16" s="301" t="s">
        <v>560</v>
      </c>
      <c r="E16" s="303">
        <v>0</v>
      </c>
      <c r="F16" s="303">
        <v>0</v>
      </c>
      <c r="G16" s="303">
        <v>0</v>
      </c>
      <c r="H16" s="438">
        <v>0</v>
      </c>
      <c r="I16" s="438">
        <v>0</v>
      </c>
      <c r="J16" s="438">
        <v>0</v>
      </c>
      <c r="K16" s="438">
        <v>0</v>
      </c>
    </row>
    <row r="17" spans="1:11" ht="12.75">
      <c r="A17" s="269">
        <v>12</v>
      </c>
      <c r="B17" s="297">
        <v>3</v>
      </c>
      <c r="C17" s="291" t="s">
        <v>83</v>
      </c>
      <c r="D17" s="57"/>
      <c r="E17" s="292">
        <f aca="true" t="shared" si="5" ref="E17:K17">E18</f>
        <v>1595.08</v>
      </c>
      <c r="F17" s="292">
        <f t="shared" si="5"/>
        <v>294.31</v>
      </c>
      <c r="G17" s="292">
        <f t="shared" si="5"/>
        <v>1020</v>
      </c>
      <c r="H17" s="292">
        <f t="shared" si="5"/>
        <v>820</v>
      </c>
      <c r="I17" s="292">
        <f t="shared" si="5"/>
        <v>1020</v>
      </c>
      <c r="J17" s="292">
        <f t="shared" si="5"/>
        <v>1020</v>
      </c>
      <c r="K17" s="292">
        <f t="shared" si="5"/>
        <v>1020</v>
      </c>
    </row>
    <row r="18" spans="1:11" ht="12.75">
      <c r="A18" s="36">
        <v>13</v>
      </c>
      <c r="B18" s="7" t="s">
        <v>252</v>
      </c>
      <c r="C18" s="288" t="s">
        <v>89</v>
      </c>
      <c r="D18" s="289"/>
      <c r="E18" s="76">
        <f>E19+E20+E21+E22</f>
        <v>1595.08</v>
      </c>
      <c r="F18" s="76">
        <f aca="true" t="shared" si="6" ref="F18:K18">F19+F20+F21+F22</f>
        <v>294.31</v>
      </c>
      <c r="G18" s="76">
        <f t="shared" si="6"/>
        <v>1020</v>
      </c>
      <c r="H18" s="76">
        <f t="shared" si="6"/>
        <v>820</v>
      </c>
      <c r="I18" s="76">
        <f t="shared" si="6"/>
        <v>1020</v>
      </c>
      <c r="J18" s="76">
        <f t="shared" si="6"/>
        <v>1020</v>
      </c>
      <c r="K18" s="76">
        <f t="shared" si="6"/>
        <v>1020</v>
      </c>
    </row>
    <row r="19" spans="1:11" ht="12.75">
      <c r="A19" s="36">
        <v>14</v>
      </c>
      <c r="B19" s="115"/>
      <c r="C19" s="312">
        <v>630</v>
      </c>
      <c r="D19" s="6" t="s">
        <v>54</v>
      </c>
      <c r="E19" s="97">
        <v>262.02</v>
      </c>
      <c r="F19" s="97">
        <v>231.41</v>
      </c>
      <c r="G19" s="97">
        <v>600</v>
      </c>
      <c r="H19" s="437">
        <v>400</v>
      </c>
      <c r="I19" s="437">
        <v>600</v>
      </c>
      <c r="J19" s="437">
        <v>600</v>
      </c>
      <c r="K19" s="437">
        <v>600</v>
      </c>
    </row>
    <row r="20" spans="1:11" ht="12.75">
      <c r="A20" s="36">
        <v>15</v>
      </c>
      <c r="B20" s="115"/>
      <c r="C20" s="313" t="s">
        <v>289</v>
      </c>
      <c r="D20" s="6" t="s">
        <v>152</v>
      </c>
      <c r="E20" s="97">
        <v>124.66</v>
      </c>
      <c r="F20" s="97">
        <v>62.9</v>
      </c>
      <c r="G20" s="97">
        <v>120</v>
      </c>
      <c r="H20" s="437">
        <v>120</v>
      </c>
      <c r="I20" s="437">
        <v>120</v>
      </c>
      <c r="J20" s="437">
        <v>120</v>
      </c>
      <c r="K20" s="437">
        <v>120</v>
      </c>
    </row>
    <row r="21" spans="1:11" ht="12.75">
      <c r="A21" s="269">
        <v>16</v>
      </c>
      <c r="B21" s="115"/>
      <c r="C21" s="69" t="s">
        <v>289</v>
      </c>
      <c r="D21" s="6" t="s">
        <v>301</v>
      </c>
      <c r="E21" s="97">
        <v>0</v>
      </c>
      <c r="F21" s="97">
        <v>0</v>
      </c>
      <c r="G21" s="97">
        <v>0</v>
      </c>
      <c r="H21" s="437">
        <v>0</v>
      </c>
      <c r="I21" s="437">
        <v>0</v>
      </c>
      <c r="J21" s="437">
        <v>0</v>
      </c>
      <c r="K21" s="437">
        <v>0</v>
      </c>
    </row>
    <row r="22" spans="1:11" ht="12.75">
      <c r="A22" s="36">
        <v>17</v>
      </c>
      <c r="B22" s="115"/>
      <c r="C22" s="69" t="s">
        <v>289</v>
      </c>
      <c r="D22" s="1004" t="s">
        <v>475</v>
      </c>
      <c r="E22" s="97">
        <v>1208.4</v>
      </c>
      <c r="F22" s="97">
        <v>0</v>
      </c>
      <c r="G22" s="97">
        <v>300</v>
      </c>
      <c r="H22" s="437">
        <v>300</v>
      </c>
      <c r="I22" s="437">
        <v>300</v>
      </c>
      <c r="J22" s="437">
        <v>300</v>
      </c>
      <c r="K22" s="437">
        <v>300</v>
      </c>
    </row>
    <row r="23" spans="1:11" ht="12.75">
      <c r="A23" s="36">
        <v>18</v>
      </c>
      <c r="B23" s="285">
        <v>4</v>
      </c>
      <c r="C23" s="286" t="s">
        <v>625</v>
      </c>
      <c r="D23" s="58"/>
      <c r="E23" s="287">
        <f aca="true" t="shared" si="7" ref="E23:K23">E24</f>
        <v>3301.18</v>
      </c>
      <c r="F23" s="287">
        <f t="shared" si="7"/>
        <v>3931.8</v>
      </c>
      <c r="G23" s="287">
        <f t="shared" si="7"/>
        <v>3450</v>
      </c>
      <c r="H23" s="435">
        <f t="shared" si="7"/>
        <v>3438</v>
      </c>
      <c r="I23" s="435">
        <f t="shared" si="7"/>
        <v>3665</v>
      </c>
      <c r="J23" s="435">
        <f t="shared" si="7"/>
        <v>3665</v>
      </c>
      <c r="K23" s="435">
        <f t="shared" si="7"/>
        <v>3665</v>
      </c>
    </row>
    <row r="24" spans="1:11" ht="12.75">
      <c r="A24" s="36">
        <v>19</v>
      </c>
      <c r="B24" s="7" t="s">
        <v>253</v>
      </c>
      <c r="C24" s="288" t="s">
        <v>626</v>
      </c>
      <c r="D24" s="289"/>
      <c r="E24" s="76">
        <f>E25+E27+E28+E29</f>
        <v>3301.18</v>
      </c>
      <c r="F24" s="76">
        <f aca="true" t="shared" si="8" ref="F24:K24">F25+F27+F28+F29</f>
        <v>3931.8</v>
      </c>
      <c r="G24" s="76">
        <f t="shared" si="8"/>
        <v>3450</v>
      </c>
      <c r="H24" s="76">
        <f t="shared" si="8"/>
        <v>3438</v>
      </c>
      <c r="I24" s="76">
        <f t="shared" si="8"/>
        <v>3665</v>
      </c>
      <c r="J24" s="76">
        <f t="shared" si="8"/>
        <v>3665</v>
      </c>
      <c r="K24" s="76">
        <f t="shared" si="8"/>
        <v>3665</v>
      </c>
    </row>
    <row r="25" spans="1:11" ht="12.75">
      <c r="A25" s="36">
        <v>20</v>
      </c>
      <c r="B25" s="113"/>
      <c r="C25" s="314" t="s">
        <v>289</v>
      </c>
      <c r="D25" s="94" t="s">
        <v>170</v>
      </c>
      <c r="E25" s="96">
        <v>0</v>
      </c>
      <c r="F25" s="96">
        <v>0</v>
      </c>
      <c r="G25" s="96">
        <v>150</v>
      </c>
      <c r="H25" s="439">
        <v>150</v>
      </c>
      <c r="I25" s="439">
        <v>150</v>
      </c>
      <c r="J25" s="439">
        <v>150</v>
      </c>
      <c r="K25" s="439">
        <v>150</v>
      </c>
    </row>
    <row r="26" spans="1:11" ht="12.75">
      <c r="A26" s="579" t="s">
        <v>403</v>
      </c>
      <c r="B26" s="113"/>
      <c r="C26" s="314" t="s">
        <v>289</v>
      </c>
      <c r="D26" s="94" t="s">
        <v>302</v>
      </c>
      <c r="E26" s="96">
        <v>0</v>
      </c>
      <c r="F26" s="96">
        <v>0</v>
      </c>
      <c r="G26" s="96">
        <v>0</v>
      </c>
      <c r="H26" s="439">
        <v>0</v>
      </c>
      <c r="I26" s="439">
        <v>0</v>
      </c>
      <c r="J26" s="439">
        <v>0</v>
      </c>
      <c r="K26" s="439">
        <v>0</v>
      </c>
    </row>
    <row r="27" spans="1:11" ht="12.75">
      <c r="A27" s="36">
        <v>22</v>
      </c>
      <c r="B27" s="113"/>
      <c r="C27" s="314" t="s">
        <v>289</v>
      </c>
      <c r="D27" s="94" t="s">
        <v>561</v>
      </c>
      <c r="E27" s="97">
        <v>276.94</v>
      </c>
      <c r="F27" s="97">
        <v>276.84</v>
      </c>
      <c r="G27" s="97">
        <v>300</v>
      </c>
      <c r="H27" s="437">
        <v>288</v>
      </c>
      <c r="I27" s="437">
        <v>300</v>
      </c>
      <c r="J27" s="437">
        <v>300</v>
      </c>
      <c r="K27" s="437">
        <v>300</v>
      </c>
    </row>
    <row r="28" spans="1:11" ht="12.75">
      <c r="A28" s="36">
        <v>23</v>
      </c>
      <c r="B28" s="310"/>
      <c r="C28" s="315" t="s">
        <v>289</v>
      </c>
      <c r="D28" s="293" t="s">
        <v>171</v>
      </c>
      <c r="E28" s="97">
        <v>2534.64</v>
      </c>
      <c r="F28" s="97">
        <v>3654.96</v>
      </c>
      <c r="G28" s="97">
        <v>3000</v>
      </c>
      <c r="H28" s="437">
        <v>3000</v>
      </c>
      <c r="I28" s="437">
        <v>3215</v>
      </c>
      <c r="J28" s="437">
        <v>3215</v>
      </c>
      <c r="K28" s="437">
        <v>3215</v>
      </c>
    </row>
    <row r="29" spans="1:11" ht="13.5" thickBot="1">
      <c r="A29" s="294">
        <v>24</v>
      </c>
      <c r="B29" s="311"/>
      <c r="C29" s="152" t="s">
        <v>289</v>
      </c>
      <c r="D29" s="295" t="s">
        <v>300</v>
      </c>
      <c r="E29" s="197">
        <v>489.6</v>
      </c>
      <c r="F29" s="197">
        <v>0</v>
      </c>
      <c r="G29" s="197">
        <v>0</v>
      </c>
      <c r="H29" s="440">
        <v>0</v>
      </c>
      <c r="I29" s="440">
        <v>0</v>
      </c>
      <c r="J29" s="440">
        <v>0</v>
      </c>
      <c r="K29" s="440">
        <v>0</v>
      </c>
    </row>
    <row r="31" spans="1:2" ht="15" thickBot="1">
      <c r="A31" s="23"/>
      <c r="B31" s="204" t="s">
        <v>297</v>
      </c>
    </row>
    <row r="32" spans="1:11" ht="15.75" thickBot="1">
      <c r="A32" s="1248" t="s">
        <v>10</v>
      </c>
      <c r="B32" s="1249"/>
      <c r="C32" s="1249"/>
      <c r="D32" s="1249"/>
      <c r="E32" s="200" t="s">
        <v>283</v>
      </c>
      <c r="F32" s="508" t="s">
        <v>368</v>
      </c>
      <c r="G32" s="121" t="s">
        <v>369</v>
      </c>
      <c r="H32" s="121" t="s">
        <v>286</v>
      </c>
      <c r="I32" s="535" t="s">
        <v>13</v>
      </c>
      <c r="J32" s="513" t="s">
        <v>13</v>
      </c>
      <c r="K32" s="512" t="s">
        <v>13</v>
      </c>
    </row>
    <row r="33" spans="1:11" ht="12.75">
      <c r="A33" s="124"/>
      <c r="B33" s="125"/>
      <c r="C33" s="126"/>
      <c r="D33" s="298"/>
      <c r="E33" s="193"/>
      <c r="F33" s="193"/>
      <c r="G33" s="510" t="s">
        <v>285</v>
      </c>
      <c r="H33" s="510" t="s">
        <v>287</v>
      </c>
      <c r="I33" s="536"/>
      <c r="J33" s="1079" t="s">
        <v>505</v>
      </c>
      <c r="K33" s="1079" t="s">
        <v>505</v>
      </c>
    </row>
    <row r="34" spans="1:11" ht="15.75">
      <c r="A34" s="128"/>
      <c r="B34" s="51" t="s">
        <v>214</v>
      </c>
      <c r="C34" s="129" t="s">
        <v>9</v>
      </c>
      <c r="D34" s="299"/>
      <c r="E34" s="195">
        <v>2018</v>
      </c>
      <c r="F34" s="509" t="s">
        <v>367</v>
      </c>
      <c r="G34" s="511">
        <v>2020</v>
      </c>
      <c r="H34" s="196" t="s">
        <v>373</v>
      </c>
      <c r="I34" s="537">
        <v>2021</v>
      </c>
      <c r="J34" s="515" t="s">
        <v>432</v>
      </c>
      <c r="K34" s="514">
        <v>2023</v>
      </c>
    </row>
    <row r="35" spans="1:11" ht="13.5" thickBot="1">
      <c r="A35" s="307"/>
      <c r="B35" s="53"/>
      <c r="C35" s="132" t="s">
        <v>74</v>
      </c>
      <c r="D35" s="302" t="s">
        <v>5</v>
      </c>
      <c r="E35" s="198" t="s">
        <v>276</v>
      </c>
      <c r="F35" s="198" t="s">
        <v>276</v>
      </c>
      <c r="G35" s="199" t="s">
        <v>276</v>
      </c>
      <c r="H35" s="199" t="s">
        <v>276</v>
      </c>
      <c r="I35" s="538" t="s">
        <v>276</v>
      </c>
      <c r="J35" s="517" t="s">
        <v>276</v>
      </c>
      <c r="K35" s="516" t="s">
        <v>276</v>
      </c>
    </row>
    <row r="36" spans="1:11" ht="14.25" thickBot="1" thickTop="1">
      <c r="A36" s="35">
        <v>1</v>
      </c>
      <c r="B36" s="213" t="s">
        <v>115</v>
      </c>
      <c r="C36" s="283"/>
      <c r="D36" s="74"/>
      <c r="E36" s="284">
        <f>E37</f>
        <v>910</v>
      </c>
      <c r="F36" s="284">
        <f>F37</f>
        <v>0</v>
      </c>
      <c r="G36" s="284">
        <f>G40+G44+G47+G53</f>
        <v>0</v>
      </c>
      <c r="H36" s="434">
        <f>H37+H40</f>
        <v>2200</v>
      </c>
      <c r="I36" s="434">
        <f>I40+I44+I47+I53</f>
        <v>0</v>
      </c>
      <c r="J36" s="434">
        <f>J40+J44+J47+J53</f>
        <v>0</v>
      </c>
      <c r="K36" s="434">
        <f>K40+K44+K47+K53</f>
        <v>0</v>
      </c>
    </row>
    <row r="37" spans="1:11" ht="13.5" thickTop="1">
      <c r="A37" s="35">
        <v>2</v>
      </c>
      <c r="B37" s="297">
        <v>3</v>
      </c>
      <c r="C37" s="291" t="s">
        <v>83</v>
      </c>
      <c r="D37" s="57"/>
      <c r="E37" s="292">
        <f aca="true" t="shared" si="9" ref="E37:K37">E38</f>
        <v>910</v>
      </c>
      <c r="F37" s="292">
        <f t="shared" si="9"/>
        <v>0</v>
      </c>
      <c r="G37" s="292">
        <f t="shared" si="9"/>
        <v>0</v>
      </c>
      <c r="H37" s="292">
        <f t="shared" si="9"/>
        <v>2200</v>
      </c>
      <c r="I37" s="292">
        <f t="shared" si="9"/>
        <v>0</v>
      </c>
      <c r="J37" s="292">
        <f t="shared" si="9"/>
        <v>0</v>
      </c>
      <c r="K37" s="292">
        <f t="shared" si="9"/>
        <v>0</v>
      </c>
    </row>
    <row r="38" spans="1:11" ht="12.75">
      <c r="A38" s="35">
        <v>3</v>
      </c>
      <c r="B38" s="7" t="s">
        <v>252</v>
      </c>
      <c r="C38" s="288" t="s">
        <v>89</v>
      </c>
      <c r="D38" s="289"/>
      <c r="E38" s="76">
        <f>E39+E40+E41+E42</f>
        <v>910</v>
      </c>
      <c r="F38" s="76">
        <f aca="true" t="shared" si="10" ref="F38:K38">F39+F40+F41+F42</f>
        <v>0</v>
      </c>
      <c r="G38" s="76">
        <f t="shared" si="10"/>
        <v>0</v>
      </c>
      <c r="H38" s="76">
        <f t="shared" si="10"/>
        <v>2200</v>
      </c>
      <c r="I38" s="76">
        <f t="shared" si="10"/>
        <v>0</v>
      </c>
      <c r="J38" s="76">
        <f t="shared" si="10"/>
        <v>0</v>
      </c>
      <c r="K38" s="76">
        <f t="shared" si="10"/>
        <v>0</v>
      </c>
    </row>
    <row r="39" spans="1:11" s="505" customFormat="1" ht="22.5">
      <c r="A39" s="212">
        <v>4</v>
      </c>
      <c r="B39" s="712"/>
      <c r="C39" s="1115">
        <v>700</v>
      </c>
      <c r="D39" s="211" t="s">
        <v>563</v>
      </c>
      <c r="E39" s="263">
        <v>910</v>
      </c>
      <c r="F39" s="263">
        <v>0</v>
      </c>
      <c r="G39" s="263">
        <v>0</v>
      </c>
      <c r="H39" s="1116">
        <v>2200</v>
      </c>
      <c r="I39" s="1116">
        <v>0</v>
      </c>
      <c r="J39" s="1116">
        <v>0</v>
      </c>
      <c r="K39" s="1116">
        <v>0</v>
      </c>
    </row>
    <row r="40" spans="1:11" ht="12.75">
      <c r="A40" s="36">
        <v>5</v>
      </c>
      <c r="B40" s="285">
        <v>4</v>
      </c>
      <c r="C40" s="286" t="s">
        <v>84</v>
      </c>
      <c r="D40" s="58"/>
      <c r="E40" s="287">
        <f aca="true" t="shared" si="11" ref="E40:K41">E41</f>
        <v>0</v>
      </c>
      <c r="F40" s="287">
        <f t="shared" si="11"/>
        <v>0</v>
      </c>
      <c r="G40" s="287">
        <f t="shared" si="11"/>
        <v>0</v>
      </c>
      <c r="H40" s="435">
        <f t="shared" si="11"/>
        <v>0</v>
      </c>
      <c r="I40" s="435">
        <f t="shared" si="11"/>
        <v>0</v>
      </c>
      <c r="J40" s="435">
        <f t="shared" si="11"/>
        <v>0</v>
      </c>
      <c r="K40" s="435">
        <f t="shared" si="11"/>
        <v>0</v>
      </c>
    </row>
    <row r="41" spans="1:11" ht="12.75">
      <c r="A41" s="36">
        <v>6</v>
      </c>
      <c r="B41" s="7" t="s">
        <v>253</v>
      </c>
      <c r="C41" s="288" t="s">
        <v>198</v>
      </c>
      <c r="D41" s="289"/>
      <c r="E41" s="76">
        <f t="shared" si="11"/>
        <v>0</v>
      </c>
      <c r="F41" s="76">
        <f t="shared" si="11"/>
        <v>0</v>
      </c>
      <c r="G41" s="76">
        <f t="shared" si="11"/>
        <v>0</v>
      </c>
      <c r="H41" s="436">
        <f t="shared" si="11"/>
        <v>0</v>
      </c>
      <c r="I41" s="436">
        <f t="shared" si="11"/>
        <v>0</v>
      </c>
      <c r="J41" s="436">
        <f t="shared" si="11"/>
        <v>0</v>
      </c>
      <c r="K41" s="436">
        <f t="shared" si="11"/>
        <v>0</v>
      </c>
    </row>
    <row r="42" spans="1:11" ht="13.5" thickBot="1">
      <c r="A42" s="656" t="s">
        <v>77</v>
      </c>
      <c r="B42" s="305"/>
      <c r="C42" s="306" t="s">
        <v>295</v>
      </c>
      <c r="D42" s="112" t="s">
        <v>341</v>
      </c>
      <c r="E42" s="555">
        <v>0</v>
      </c>
      <c r="F42" s="555">
        <v>0</v>
      </c>
      <c r="G42" s="555">
        <v>0</v>
      </c>
      <c r="H42" s="556">
        <v>0</v>
      </c>
      <c r="I42" s="556">
        <v>0</v>
      </c>
      <c r="J42" s="556">
        <v>0</v>
      </c>
      <c r="K42" s="556">
        <v>0</v>
      </c>
    </row>
    <row r="57" spans="2:4" s="64" customFormat="1" ht="9.75">
      <c r="B57" s="48"/>
      <c r="D57" s="171"/>
    </row>
    <row r="58" spans="1:4" s="64" customFormat="1" ht="9.75">
      <c r="A58" s="48"/>
      <c r="B58" s="172"/>
      <c r="D58" s="171"/>
    </row>
    <row r="59" spans="1:4" s="64" customFormat="1" ht="9.75">
      <c r="A59" s="48"/>
      <c r="B59" s="172"/>
      <c r="D59" s="171"/>
    </row>
    <row r="60" spans="1:2" s="64" customFormat="1" ht="9.75">
      <c r="A60" s="48"/>
      <c r="B60" s="169"/>
    </row>
    <row r="61" spans="1:2" s="64" customFormat="1" ht="9.75">
      <c r="A61" s="48"/>
      <c r="B61" s="169"/>
    </row>
    <row r="62" spans="1:2" s="64" customFormat="1" ht="9.75">
      <c r="A62" s="48"/>
      <c r="B62" s="169"/>
    </row>
    <row r="63" spans="1:2" s="64" customFormat="1" ht="9.75">
      <c r="A63" s="48"/>
      <c r="B63" s="156"/>
    </row>
    <row r="64" spans="1:2" s="64" customFormat="1" ht="9.75">
      <c r="A64" s="48"/>
      <c r="B64" s="156"/>
    </row>
    <row r="65" spans="1:2" s="64" customFormat="1" ht="9.75">
      <c r="A65" s="48"/>
      <c r="B65" s="169"/>
    </row>
  </sheetData>
  <sheetProtection/>
  <mergeCells count="2">
    <mergeCell ref="A32:D32"/>
    <mergeCell ref="A2:D2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1"/>
  <sheetViews>
    <sheetView zoomScale="130" zoomScaleNormal="130" zoomScalePageLayoutView="0" workbookViewId="0" topLeftCell="A1">
      <pane ySplit="5" topLeftCell="A42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4.8515625" style="0" customWidth="1"/>
    <col min="4" max="4" width="27.574218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11" width="8.421875" style="0" bestFit="1" customWidth="1"/>
    <col min="16" max="16" width="9.140625" style="1010" customWidth="1"/>
  </cols>
  <sheetData>
    <row r="1" spans="1:14" ht="15" thickBot="1">
      <c r="A1" s="23"/>
      <c r="B1" s="204" t="s">
        <v>304</v>
      </c>
      <c r="I1" s="39"/>
      <c r="J1" s="39"/>
      <c r="K1" s="39"/>
      <c r="L1" s="39"/>
      <c r="M1" s="39"/>
      <c r="N1" s="39"/>
    </row>
    <row r="2" spans="1:14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  <c r="L2" s="39"/>
      <c r="M2" s="39"/>
      <c r="N2" s="39"/>
    </row>
    <row r="3" spans="1:14" ht="12.75">
      <c r="A3" s="42"/>
      <c r="B3" s="43"/>
      <c r="C3" s="44"/>
      <c r="D3" s="582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  <c r="L3" s="39"/>
      <c r="M3" s="39"/>
      <c r="N3" s="39"/>
    </row>
    <row r="4" spans="1:14" ht="15.75">
      <c r="A4" s="28"/>
      <c r="B4" s="332" t="s">
        <v>9</v>
      </c>
      <c r="C4" s="333" t="s">
        <v>303</v>
      </c>
      <c r="D4" s="583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  <c r="L4" s="39"/>
      <c r="M4" s="39"/>
      <c r="N4" s="39"/>
    </row>
    <row r="5" spans="1:14" ht="13.5" thickBot="1">
      <c r="A5" s="32"/>
      <c r="B5" s="334" t="s">
        <v>305</v>
      </c>
      <c r="C5" s="4" t="s">
        <v>74</v>
      </c>
      <c r="D5" s="584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  <c r="L5" s="39"/>
      <c r="M5" s="39"/>
      <c r="N5" s="39"/>
    </row>
    <row r="6" spans="1:14" ht="14.25" thickBot="1" thickTop="1">
      <c r="A6" s="328">
        <v>1</v>
      </c>
      <c r="B6" s="316" t="s">
        <v>306</v>
      </c>
      <c r="C6" s="317"/>
      <c r="D6" s="1204"/>
      <c r="E6" s="339">
        <f aca="true" t="shared" si="0" ref="E6:K7">E7</f>
        <v>14556.92</v>
      </c>
      <c r="F6" s="339">
        <f t="shared" si="0"/>
        <v>10501.610000000002</v>
      </c>
      <c r="G6" s="339">
        <f t="shared" si="0"/>
        <v>12379.32</v>
      </c>
      <c r="H6" s="339">
        <f>H7+H36</f>
        <v>18689.32</v>
      </c>
      <c r="I6" s="339">
        <f>I7+I36</f>
        <v>20003.690000000002</v>
      </c>
      <c r="J6" s="339">
        <f>J7+J36</f>
        <v>18353.69</v>
      </c>
      <c r="K6" s="339">
        <f>K7+K36</f>
        <v>18353.69</v>
      </c>
      <c r="L6" s="39"/>
      <c r="M6" s="39"/>
      <c r="N6" s="39"/>
    </row>
    <row r="7" spans="1:14" ht="13.5" thickTop="1">
      <c r="A7" s="328">
        <v>2</v>
      </c>
      <c r="B7" s="331">
        <v>1</v>
      </c>
      <c r="C7" s="318" t="s">
        <v>76</v>
      </c>
      <c r="D7" s="1205"/>
      <c r="E7" s="327">
        <f t="shared" si="0"/>
        <v>14556.92</v>
      </c>
      <c r="F7" s="327">
        <f t="shared" si="0"/>
        <v>10501.610000000002</v>
      </c>
      <c r="G7" s="327">
        <f t="shared" si="0"/>
        <v>12379.32</v>
      </c>
      <c r="H7" s="327">
        <f t="shared" si="0"/>
        <v>11879.32</v>
      </c>
      <c r="I7" s="327">
        <f t="shared" si="0"/>
        <v>14003.69</v>
      </c>
      <c r="J7" s="327">
        <f t="shared" si="0"/>
        <v>12353.689999999999</v>
      </c>
      <c r="K7" s="327">
        <f t="shared" si="0"/>
        <v>12353.689999999999</v>
      </c>
      <c r="L7" s="39"/>
      <c r="M7" s="39"/>
      <c r="N7" s="39"/>
    </row>
    <row r="8" spans="1:16" ht="12.75">
      <c r="A8" s="328">
        <v>3</v>
      </c>
      <c r="B8" s="319" t="s">
        <v>254</v>
      </c>
      <c r="C8" s="320" t="s">
        <v>76</v>
      </c>
      <c r="D8" s="587"/>
      <c r="E8" s="225">
        <f>SUM(E9:E24)</f>
        <v>14556.92</v>
      </c>
      <c r="F8" s="225">
        <f>SUM(F9:F24)</f>
        <v>10501.610000000002</v>
      </c>
      <c r="G8" s="225">
        <f>G9+G10+G11+G12+G13+G14+G15+G16+G17+G18+G19+G20+G21+G22+G23+G24</f>
        <v>12379.32</v>
      </c>
      <c r="H8" s="225">
        <f>H9+H10+H11+H12+H16+H17+H18+H19+H20+H21+H22+H24+H13+H23+H14+H15</f>
        <v>11879.32</v>
      </c>
      <c r="I8" s="225">
        <f>SUM(I9:I32)</f>
        <v>14003.69</v>
      </c>
      <c r="J8" s="225">
        <f>J9+J10+J11+J12+J16+J17+J18+J19+J20+J21+J22+J24+J13+J23+J14+J15</f>
        <v>12353.689999999999</v>
      </c>
      <c r="K8" s="225">
        <f>K9+K10+K11+K12+K16+K17+K18+K19+K20+K21+K22+K24+K13+K23+K14+K15</f>
        <v>12353.689999999999</v>
      </c>
      <c r="L8" s="39"/>
      <c r="M8" s="39"/>
      <c r="N8" s="39"/>
      <c r="P8" s="1011"/>
    </row>
    <row r="9" spans="1:15" ht="12.75">
      <c r="A9" s="328">
        <v>4</v>
      </c>
      <c r="B9" s="321"/>
      <c r="C9" s="335">
        <v>630</v>
      </c>
      <c r="D9" s="1206" t="s">
        <v>172</v>
      </c>
      <c r="E9" s="322">
        <v>2272.36</v>
      </c>
      <c r="F9" s="322">
        <v>1853.75</v>
      </c>
      <c r="G9" s="322">
        <v>4025</v>
      </c>
      <c r="H9" s="322">
        <v>3525</v>
      </c>
      <c r="I9" s="263">
        <v>4000</v>
      </c>
      <c r="J9" s="263">
        <v>4000</v>
      </c>
      <c r="K9" s="263">
        <v>4000</v>
      </c>
      <c r="L9" s="39"/>
      <c r="M9" s="39"/>
      <c r="N9" s="39"/>
      <c r="O9" s="594"/>
    </row>
    <row r="10" spans="1:14" ht="12.75">
      <c r="A10" s="328">
        <v>5</v>
      </c>
      <c r="B10" s="321"/>
      <c r="C10" s="335">
        <v>630</v>
      </c>
      <c r="D10" s="1206" t="s">
        <v>307</v>
      </c>
      <c r="E10" s="322">
        <v>0</v>
      </c>
      <c r="F10" s="322">
        <v>0</v>
      </c>
      <c r="G10" s="322">
        <v>0</v>
      </c>
      <c r="H10" s="322">
        <v>0</v>
      </c>
      <c r="I10" s="322">
        <v>0</v>
      </c>
      <c r="J10" s="322">
        <v>0</v>
      </c>
      <c r="K10" s="322">
        <v>0</v>
      </c>
      <c r="L10" s="39"/>
      <c r="M10" s="39"/>
      <c r="N10" s="39"/>
    </row>
    <row r="11" spans="1:14" ht="12.75">
      <c r="A11" s="328">
        <v>6</v>
      </c>
      <c r="B11" s="321"/>
      <c r="C11" s="335">
        <v>630</v>
      </c>
      <c r="D11" s="1206" t="s">
        <v>200</v>
      </c>
      <c r="E11" s="322">
        <v>87.74</v>
      </c>
      <c r="F11" s="322">
        <v>207.23</v>
      </c>
      <c r="G11" s="322">
        <v>350</v>
      </c>
      <c r="H11" s="322">
        <v>350</v>
      </c>
      <c r="I11" s="1215">
        <v>150</v>
      </c>
      <c r="J11" s="322">
        <v>350</v>
      </c>
      <c r="K11" s="322">
        <v>350</v>
      </c>
      <c r="L11" s="39"/>
      <c r="M11" s="39"/>
      <c r="N11" s="39"/>
    </row>
    <row r="12" spans="1:14" ht="12.75">
      <c r="A12" s="328">
        <v>7</v>
      </c>
      <c r="B12" s="321"/>
      <c r="C12" s="335">
        <v>630</v>
      </c>
      <c r="D12" s="1206" t="s">
        <v>143</v>
      </c>
      <c r="E12" s="322">
        <v>323.2</v>
      </c>
      <c r="F12" s="322">
        <v>341</v>
      </c>
      <c r="G12" s="322">
        <v>250</v>
      </c>
      <c r="H12" s="322">
        <v>0</v>
      </c>
      <c r="I12" s="1215">
        <v>200</v>
      </c>
      <c r="J12" s="322">
        <v>250</v>
      </c>
      <c r="K12" s="322">
        <v>250</v>
      </c>
      <c r="L12" s="39"/>
      <c r="M12" s="39"/>
      <c r="N12" s="39"/>
    </row>
    <row r="13" spans="1:17" ht="22.5">
      <c r="A13" s="328">
        <v>8</v>
      </c>
      <c r="B13" s="1095"/>
      <c r="C13" s="1096">
        <v>630</v>
      </c>
      <c r="D13" s="1207" t="s">
        <v>457</v>
      </c>
      <c r="E13" s="1097">
        <v>3564.12</v>
      </c>
      <c r="F13" s="1097">
        <v>3200.57</v>
      </c>
      <c r="G13" s="1097">
        <v>3150</v>
      </c>
      <c r="H13" s="1097">
        <v>3150</v>
      </c>
      <c r="I13" s="1097">
        <v>3150</v>
      </c>
      <c r="J13" s="1097">
        <v>3150</v>
      </c>
      <c r="K13" s="1097">
        <v>3150</v>
      </c>
      <c r="L13" s="39"/>
      <c r="M13" s="39"/>
      <c r="N13" s="39"/>
      <c r="Q13" s="992"/>
    </row>
    <row r="14" spans="1:14" ht="12.75">
      <c r="A14" s="328">
        <v>9</v>
      </c>
      <c r="B14" s="323"/>
      <c r="C14" s="336">
        <v>630</v>
      </c>
      <c r="D14" s="1208" t="s">
        <v>410</v>
      </c>
      <c r="E14" s="263">
        <v>450</v>
      </c>
      <c r="F14" s="263">
        <v>660</v>
      </c>
      <c r="G14" s="263">
        <v>660</v>
      </c>
      <c r="H14" s="263">
        <v>660</v>
      </c>
      <c r="I14" s="263">
        <v>660</v>
      </c>
      <c r="J14" s="263">
        <v>660</v>
      </c>
      <c r="K14" s="263">
        <v>660</v>
      </c>
      <c r="L14" s="39"/>
      <c r="M14" s="39"/>
      <c r="N14" s="39"/>
    </row>
    <row r="15" spans="1:14" ht="12.75">
      <c r="A15" s="328">
        <v>10</v>
      </c>
      <c r="B15" s="323"/>
      <c r="C15" s="336">
        <v>620</v>
      </c>
      <c r="D15" s="1208" t="s">
        <v>411</v>
      </c>
      <c r="E15" s="263">
        <v>157.27</v>
      </c>
      <c r="F15" s="263">
        <v>232.32</v>
      </c>
      <c r="G15" s="263">
        <v>232.32</v>
      </c>
      <c r="H15" s="263">
        <v>232.32</v>
      </c>
      <c r="I15" s="263">
        <f>I14*0.352</f>
        <v>232.32</v>
      </c>
      <c r="J15" s="263">
        <f>J14*0.352</f>
        <v>232.32</v>
      </c>
      <c r="K15" s="263">
        <f>K14*0.352</f>
        <v>232.32</v>
      </c>
      <c r="L15" s="39"/>
      <c r="M15" s="39"/>
      <c r="N15" s="39"/>
    </row>
    <row r="16" spans="1:16" ht="12.75">
      <c r="A16" s="328">
        <v>11</v>
      </c>
      <c r="B16" s="321"/>
      <c r="C16" s="335">
        <v>630</v>
      </c>
      <c r="D16" s="1206" t="s">
        <v>97</v>
      </c>
      <c r="E16" s="322">
        <v>1152.68</v>
      </c>
      <c r="F16" s="322">
        <v>774.62</v>
      </c>
      <c r="G16" s="322">
        <v>1300</v>
      </c>
      <c r="H16" s="322">
        <v>1253</v>
      </c>
      <c r="I16" s="263">
        <v>1300</v>
      </c>
      <c r="J16" s="263">
        <v>1300</v>
      </c>
      <c r="K16" s="263">
        <v>1300</v>
      </c>
      <c r="L16" s="39"/>
      <c r="M16" s="39"/>
      <c r="N16" s="39"/>
      <c r="P16" s="563"/>
    </row>
    <row r="17" spans="1:14" ht="12.75">
      <c r="A17" s="328">
        <v>12</v>
      </c>
      <c r="B17" s="323"/>
      <c r="C17" s="336">
        <v>630</v>
      </c>
      <c r="D17" s="1208" t="s">
        <v>245</v>
      </c>
      <c r="E17" s="322">
        <v>317.95</v>
      </c>
      <c r="F17" s="322">
        <v>275.25</v>
      </c>
      <c r="G17" s="322">
        <v>300</v>
      </c>
      <c r="H17" s="322">
        <v>248.63</v>
      </c>
      <c r="I17" s="1215">
        <v>100</v>
      </c>
      <c r="J17" s="322">
        <v>300</v>
      </c>
      <c r="K17" s="322">
        <v>300</v>
      </c>
      <c r="L17" s="39"/>
      <c r="M17" s="39"/>
      <c r="N17" s="39"/>
    </row>
    <row r="18" spans="1:14" ht="12.75">
      <c r="A18" s="328">
        <v>13</v>
      </c>
      <c r="B18" s="323"/>
      <c r="C18" s="336">
        <v>630</v>
      </c>
      <c r="D18" s="1206" t="s">
        <v>203</v>
      </c>
      <c r="E18" s="322">
        <v>287.53</v>
      </c>
      <c r="F18" s="322">
        <v>384.52</v>
      </c>
      <c r="G18" s="322">
        <v>550</v>
      </c>
      <c r="H18" s="322">
        <v>550</v>
      </c>
      <c r="I18" s="322">
        <v>550</v>
      </c>
      <c r="J18" s="322">
        <v>550</v>
      </c>
      <c r="K18" s="322">
        <v>550</v>
      </c>
      <c r="L18" s="39"/>
      <c r="M18" s="39"/>
      <c r="N18" s="39"/>
    </row>
    <row r="19" spans="1:14" ht="12.75">
      <c r="A19" s="328">
        <v>14</v>
      </c>
      <c r="B19" s="323"/>
      <c r="C19" s="336">
        <v>640</v>
      </c>
      <c r="D19" s="1206" t="s">
        <v>365</v>
      </c>
      <c r="E19" s="322">
        <v>4051.5</v>
      </c>
      <c r="F19" s="322">
        <v>1000</v>
      </c>
      <c r="G19" s="322">
        <v>0</v>
      </c>
      <c r="H19" s="322">
        <v>0</v>
      </c>
      <c r="I19" s="322">
        <v>0</v>
      </c>
      <c r="J19" s="322">
        <v>0</v>
      </c>
      <c r="K19" s="322">
        <v>0</v>
      </c>
      <c r="L19" s="39"/>
      <c r="M19" s="39"/>
      <c r="N19" s="39"/>
    </row>
    <row r="20" spans="1:16" ht="12.75">
      <c r="A20" s="328">
        <v>15</v>
      </c>
      <c r="B20" s="323"/>
      <c r="C20" s="336">
        <v>630</v>
      </c>
      <c r="D20" s="1206" t="s">
        <v>144</v>
      </c>
      <c r="E20" s="322">
        <v>380.9</v>
      </c>
      <c r="F20" s="322">
        <v>411.37</v>
      </c>
      <c r="G20" s="322">
        <v>412</v>
      </c>
      <c r="H20" s="322">
        <v>411.37</v>
      </c>
      <c r="I20" s="322">
        <v>411.37</v>
      </c>
      <c r="J20" s="322">
        <v>411.37</v>
      </c>
      <c r="K20" s="322">
        <v>411.37</v>
      </c>
      <c r="L20" s="39"/>
      <c r="M20" s="39"/>
      <c r="N20" s="39"/>
      <c r="P20" s="594"/>
    </row>
    <row r="21" spans="1:14" ht="12.75">
      <c r="A21" s="328">
        <v>16</v>
      </c>
      <c r="B21" s="324"/>
      <c r="C21" s="336">
        <v>630</v>
      </c>
      <c r="D21" s="1209" t="s">
        <v>246</v>
      </c>
      <c r="E21" s="322">
        <v>386</v>
      </c>
      <c r="F21" s="322">
        <v>245</v>
      </c>
      <c r="G21" s="322">
        <v>350</v>
      </c>
      <c r="H21" s="322">
        <v>439</v>
      </c>
      <c r="I21" s="322">
        <v>350</v>
      </c>
      <c r="J21" s="322">
        <v>350</v>
      </c>
      <c r="K21" s="322">
        <v>350</v>
      </c>
      <c r="L21" s="39"/>
      <c r="M21" s="39"/>
      <c r="N21" s="39"/>
    </row>
    <row r="22" spans="1:14" ht="22.5">
      <c r="A22" s="328">
        <v>17</v>
      </c>
      <c r="B22" s="324"/>
      <c r="C22" s="336">
        <v>630</v>
      </c>
      <c r="D22" s="1210" t="s">
        <v>564</v>
      </c>
      <c r="E22" s="322">
        <v>380.63</v>
      </c>
      <c r="F22" s="322">
        <v>354.95</v>
      </c>
      <c r="G22" s="322">
        <v>300</v>
      </c>
      <c r="H22" s="322">
        <v>560</v>
      </c>
      <c r="I22" s="263">
        <v>300</v>
      </c>
      <c r="J22" s="322">
        <v>300</v>
      </c>
      <c r="K22" s="322">
        <v>300</v>
      </c>
      <c r="L22" s="39"/>
      <c r="M22" s="39"/>
      <c r="N22" s="39"/>
    </row>
    <row r="23" spans="1:14" ht="12.75">
      <c r="A23" s="329">
        <v>18</v>
      </c>
      <c r="B23" s="325"/>
      <c r="C23" s="336">
        <v>630</v>
      </c>
      <c r="D23" s="1211" t="s">
        <v>308</v>
      </c>
      <c r="E23" s="322">
        <v>513.21</v>
      </c>
      <c r="F23" s="322">
        <v>412.02</v>
      </c>
      <c r="G23" s="322">
        <v>300</v>
      </c>
      <c r="H23" s="322">
        <v>300</v>
      </c>
      <c r="I23" s="1215">
        <v>150</v>
      </c>
      <c r="J23" s="322">
        <v>300</v>
      </c>
      <c r="K23" s="322">
        <v>300</v>
      </c>
      <c r="L23" s="39"/>
      <c r="M23" s="39"/>
      <c r="N23" s="39"/>
    </row>
    <row r="24" spans="1:14" ht="12.75">
      <c r="A24" s="328">
        <v>19</v>
      </c>
      <c r="B24" s="1199"/>
      <c r="C24" s="622">
        <v>630</v>
      </c>
      <c r="D24" s="1206" t="s">
        <v>281</v>
      </c>
      <c r="E24" s="413">
        <v>231.83</v>
      </c>
      <c r="F24" s="413">
        <v>149.01</v>
      </c>
      <c r="G24" s="413">
        <v>200</v>
      </c>
      <c r="H24" s="413">
        <v>200</v>
      </c>
      <c r="I24" s="413">
        <v>200</v>
      </c>
      <c r="J24" s="413">
        <v>200</v>
      </c>
      <c r="K24" s="413">
        <v>200</v>
      </c>
      <c r="L24" s="39"/>
      <c r="M24" s="39"/>
      <c r="N24" s="39"/>
    </row>
    <row r="25" spans="1:14" ht="12.75">
      <c r="A25" s="328">
        <v>20</v>
      </c>
      <c r="B25" s="1199"/>
      <c r="C25" s="1200">
        <v>630</v>
      </c>
      <c r="D25" s="1212" t="s">
        <v>639</v>
      </c>
      <c r="E25" s="413">
        <v>0</v>
      </c>
      <c r="F25" s="413">
        <v>0</v>
      </c>
      <c r="G25" s="413">
        <v>0</v>
      </c>
      <c r="H25" s="413">
        <v>0</v>
      </c>
      <c r="I25" s="1214">
        <v>150</v>
      </c>
      <c r="J25" s="413">
        <v>0</v>
      </c>
      <c r="K25" s="413">
        <v>0</v>
      </c>
      <c r="L25" s="39"/>
      <c r="M25" s="39"/>
      <c r="N25" s="39"/>
    </row>
    <row r="26" spans="1:14" ht="12.75">
      <c r="A26" s="328">
        <v>21</v>
      </c>
      <c r="B26" s="1199"/>
      <c r="C26" s="1200">
        <v>630</v>
      </c>
      <c r="D26" s="1212" t="s">
        <v>640</v>
      </c>
      <c r="E26" s="413">
        <v>0</v>
      </c>
      <c r="F26" s="413">
        <v>0</v>
      </c>
      <c r="G26" s="413">
        <v>0</v>
      </c>
      <c r="H26" s="413">
        <v>0</v>
      </c>
      <c r="I26" s="1214">
        <v>300</v>
      </c>
      <c r="J26" s="413">
        <v>0</v>
      </c>
      <c r="K26" s="413">
        <v>0</v>
      </c>
      <c r="L26" s="39"/>
      <c r="M26" s="39"/>
      <c r="N26" s="39"/>
    </row>
    <row r="27" spans="1:14" ht="12.75">
      <c r="A27" s="328">
        <v>22</v>
      </c>
      <c r="B27" s="1199"/>
      <c r="C27" s="1200">
        <v>630</v>
      </c>
      <c r="D27" s="1212" t="s">
        <v>641</v>
      </c>
      <c r="E27" s="413">
        <v>0</v>
      </c>
      <c r="F27" s="413">
        <v>0</v>
      </c>
      <c r="G27" s="413">
        <v>0</v>
      </c>
      <c r="H27" s="413">
        <v>0</v>
      </c>
      <c r="I27" s="1214">
        <v>140</v>
      </c>
      <c r="J27" s="413">
        <v>0</v>
      </c>
      <c r="K27" s="413">
        <v>0</v>
      </c>
      <c r="L27" s="39"/>
      <c r="M27" s="39"/>
      <c r="N27" s="39"/>
    </row>
    <row r="28" spans="1:14" ht="12.75">
      <c r="A28" s="328">
        <v>23</v>
      </c>
      <c r="B28" s="1199"/>
      <c r="C28" s="1200">
        <v>630</v>
      </c>
      <c r="D28" s="1212" t="s">
        <v>642</v>
      </c>
      <c r="E28" s="413">
        <v>0</v>
      </c>
      <c r="F28" s="413">
        <v>0</v>
      </c>
      <c r="G28" s="413">
        <v>0</v>
      </c>
      <c r="H28" s="413">
        <v>0</v>
      </c>
      <c r="I28" s="1214">
        <v>60</v>
      </c>
      <c r="J28" s="413">
        <v>0</v>
      </c>
      <c r="K28" s="413">
        <v>0</v>
      </c>
      <c r="L28" s="39"/>
      <c r="M28" s="39"/>
      <c r="N28" s="39"/>
    </row>
    <row r="29" spans="1:14" ht="12.75">
      <c r="A29" s="328">
        <v>24</v>
      </c>
      <c r="B29" s="1199"/>
      <c r="C29" s="1200">
        <v>630</v>
      </c>
      <c r="D29" s="1212" t="s">
        <v>643</v>
      </c>
      <c r="E29" s="413">
        <v>0</v>
      </c>
      <c r="F29" s="413">
        <v>0</v>
      </c>
      <c r="G29" s="413">
        <v>0</v>
      </c>
      <c r="H29" s="413">
        <v>0</v>
      </c>
      <c r="I29" s="1214">
        <v>600</v>
      </c>
      <c r="J29" s="413">
        <v>0</v>
      </c>
      <c r="K29" s="413">
        <v>0</v>
      </c>
      <c r="L29" s="39"/>
      <c r="M29" s="39"/>
      <c r="N29" s="39"/>
    </row>
    <row r="30" spans="1:14" ht="12.75">
      <c r="A30" s="328">
        <v>25</v>
      </c>
      <c r="B30" s="1199"/>
      <c r="C30" s="1200">
        <v>630</v>
      </c>
      <c r="D30" s="1212" t="s">
        <v>644</v>
      </c>
      <c r="E30" s="413">
        <v>0</v>
      </c>
      <c r="F30" s="413">
        <v>0</v>
      </c>
      <c r="G30" s="413">
        <v>0</v>
      </c>
      <c r="H30" s="413">
        <v>0</v>
      </c>
      <c r="I30" s="1214">
        <v>200</v>
      </c>
      <c r="J30" s="413">
        <v>0</v>
      </c>
      <c r="K30" s="413">
        <v>0</v>
      </c>
      <c r="L30" s="39"/>
      <c r="M30" s="39"/>
      <c r="N30" s="39"/>
    </row>
    <row r="31" spans="1:14" ht="12.75">
      <c r="A31" s="328">
        <v>26</v>
      </c>
      <c r="B31" s="1199"/>
      <c r="C31" s="1200">
        <v>630</v>
      </c>
      <c r="D31" s="1212" t="s">
        <v>645</v>
      </c>
      <c r="E31" s="413">
        <v>0</v>
      </c>
      <c r="F31" s="413">
        <v>0</v>
      </c>
      <c r="G31" s="413">
        <v>0</v>
      </c>
      <c r="H31" s="413">
        <v>0</v>
      </c>
      <c r="I31" s="1214">
        <v>400</v>
      </c>
      <c r="J31" s="413">
        <v>0</v>
      </c>
      <c r="K31" s="413">
        <v>0</v>
      </c>
      <c r="L31" s="39"/>
      <c r="M31" s="39"/>
      <c r="N31" s="39"/>
    </row>
    <row r="32" spans="1:14" ht="12.75">
      <c r="A32" s="328">
        <v>27</v>
      </c>
      <c r="B32" s="1199"/>
      <c r="C32" s="1200">
        <v>630</v>
      </c>
      <c r="D32" s="1212" t="s">
        <v>646</v>
      </c>
      <c r="E32" s="413">
        <v>0</v>
      </c>
      <c r="F32" s="413">
        <v>0</v>
      </c>
      <c r="G32" s="413">
        <v>0</v>
      </c>
      <c r="H32" s="413">
        <v>0</v>
      </c>
      <c r="I32" s="1214">
        <v>400</v>
      </c>
      <c r="J32" s="413">
        <v>0</v>
      </c>
      <c r="K32" s="413">
        <v>0</v>
      </c>
      <c r="L32" s="39"/>
      <c r="M32" s="39"/>
      <c r="N32" s="39"/>
    </row>
    <row r="33" spans="1:14" ht="12.75">
      <c r="A33" s="727">
        <v>28</v>
      </c>
      <c r="B33" s="1201" t="s">
        <v>6</v>
      </c>
      <c r="C33" s="1202" t="s">
        <v>631</v>
      </c>
      <c r="D33" s="1203"/>
      <c r="E33" s="1213">
        <f aca="true" t="shared" si="1" ref="E33:K34">E34</f>
        <v>0</v>
      </c>
      <c r="F33" s="1213">
        <f t="shared" si="1"/>
        <v>0</v>
      </c>
      <c r="G33" s="1213">
        <f t="shared" si="1"/>
        <v>0</v>
      </c>
      <c r="H33" s="1213">
        <f t="shared" si="1"/>
        <v>0</v>
      </c>
      <c r="I33" s="1213">
        <f t="shared" si="1"/>
        <v>0</v>
      </c>
      <c r="J33" s="1213">
        <f t="shared" si="1"/>
        <v>0</v>
      </c>
      <c r="K33" s="1213">
        <f t="shared" si="1"/>
        <v>0</v>
      </c>
      <c r="L33" s="39"/>
      <c r="M33" s="39"/>
      <c r="N33" s="39"/>
    </row>
    <row r="34" spans="1:14" ht="12.75">
      <c r="A34" s="328">
        <v>29</v>
      </c>
      <c r="B34" s="1117" t="s">
        <v>629</v>
      </c>
      <c r="C34" s="1185" t="s">
        <v>630</v>
      </c>
      <c r="D34" s="526"/>
      <c r="E34" s="225">
        <f>E35</f>
        <v>0</v>
      </c>
      <c r="F34" s="225">
        <f t="shared" si="1"/>
        <v>0</v>
      </c>
      <c r="G34" s="225">
        <f t="shared" si="1"/>
        <v>0</v>
      </c>
      <c r="H34" s="225">
        <f>H35</f>
        <v>0</v>
      </c>
      <c r="I34" s="225">
        <f t="shared" si="1"/>
        <v>0</v>
      </c>
      <c r="J34" s="225">
        <f t="shared" si="1"/>
        <v>0</v>
      </c>
      <c r="K34" s="225">
        <f t="shared" si="1"/>
        <v>0</v>
      </c>
      <c r="L34" s="39"/>
      <c r="M34" s="39"/>
      <c r="N34" s="39"/>
    </row>
    <row r="35" spans="1:14" ht="13.5" thickBot="1">
      <c r="A35" s="330">
        <v>30</v>
      </c>
      <c r="B35" s="1119"/>
      <c r="C35" s="1120">
        <v>630</v>
      </c>
      <c r="D35" s="1121" t="s">
        <v>628</v>
      </c>
      <c r="E35" s="326">
        <v>0</v>
      </c>
      <c r="F35" s="326">
        <v>0</v>
      </c>
      <c r="G35" s="326">
        <v>0</v>
      </c>
      <c r="H35" s="326">
        <v>0</v>
      </c>
      <c r="I35" s="267">
        <v>0</v>
      </c>
      <c r="J35" s="326">
        <v>0</v>
      </c>
      <c r="K35" s="326">
        <v>0</v>
      </c>
      <c r="L35" s="39"/>
      <c r="M35" s="39"/>
      <c r="N35" s="39"/>
    </row>
    <row r="36" spans="1:16" s="64" customFormat="1" ht="11.25">
      <c r="A36" s="328">
        <v>31</v>
      </c>
      <c r="B36" s="331" t="s">
        <v>566</v>
      </c>
      <c r="C36" s="318" t="s">
        <v>565</v>
      </c>
      <c r="D36" s="525"/>
      <c r="E36" s="327">
        <f aca="true" t="shared" si="2" ref="E36:K37">E37</f>
        <v>0</v>
      </c>
      <c r="F36" s="327">
        <f t="shared" si="2"/>
        <v>0</v>
      </c>
      <c r="G36" s="327">
        <f t="shared" si="2"/>
        <v>0</v>
      </c>
      <c r="H36" s="327">
        <f t="shared" si="2"/>
        <v>6810</v>
      </c>
      <c r="I36" s="327">
        <f t="shared" si="2"/>
        <v>6000</v>
      </c>
      <c r="J36" s="327">
        <f t="shared" si="2"/>
        <v>6000</v>
      </c>
      <c r="K36" s="327">
        <f t="shared" si="2"/>
        <v>6000</v>
      </c>
      <c r="L36" s="39"/>
      <c r="M36" s="39"/>
      <c r="N36" s="39"/>
      <c r="P36" s="1010"/>
    </row>
    <row r="37" spans="1:16" s="64" customFormat="1" ht="11.25">
      <c r="A37" s="328">
        <v>32</v>
      </c>
      <c r="B37" s="1117" t="s">
        <v>567</v>
      </c>
      <c r="C37" s="1118" t="s">
        <v>565</v>
      </c>
      <c r="D37" s="526"/>
      <c r="E37" s="225">
        <f>E38</f>
        <v>0</v>
      </c>
      <c r="F37" s="225">
        <f t="shared" si="2"/>
        <v>0</v>
      </c>
      <c r="G37" s="225">
        <f t="shared" si="2"/>
        <v>0</v>
      </c>
      <c r="H37" s="225">
        <f>H38+H39</f>
        <v>6810</v>
      </c>
      <c r="I37" s="225">
        <f>I38+I39</f>
        <v>6000</v>
      </c>
      <c r="J37" s="225">
        <f>J38+J39</f>
        <v>6000</v>
      </c>
      <c r="K37" s="225">
        <f>K38+K39</f>
        <v>6000</v>
      </c>
      <c r="L37" s="39"/>
      <c r="M37" s="39"/>
      <c r="N37" s="39"/>
      <c r="P37" s="1010"/>
    </row>
    <row r="38" spans="1:16" s="64" customFormat="1" ht="34.5" thickBot="1">
      <c r="A38" s="330">
        <v>33</v>
      </c>
      <c r="B38" s="1119"/>
      <c r="C38" s="1120">
        <v>630</v>
      </c>
      <c r="D38" s="1121" t="s">
        <v>568</v>
      </c>
      <c r="E38" s="326">
        <v>0</v>
      </c>
      <c r="F38" s="326">
        <v>0</v>
      </c>
      <c r="G38" s="326">
        <v>0</v>
      </c>
      <c r="H38" s="326">
        <v>4100</v>
      </c>
      <c r="I38" s="1198">
        <v>3000</v>
      </c>
      <c r="J38" s="326">
        <v>3000</v>
      </c>
      <c r="K38" s="326">
        <v>3000</v>
      </c>
      <c r="L38" s="39"/>
      <c r="M38" s="39"/>
      <c r="N38" s="39"/>
      <c r="P38" s="1010"/>
    </row>
    <row r="39" spans="1:16" s="64" customFormat="1" ht="34.5" thickBot="1">
      <c r="A39" s="330">
        <v>34</v>
      </c>
      <c r="B39" s="1119"/>
      <c r="C39" s="1120">
        <v>630</v>
      </c>
      <c r="D39" s="1121" t="s">
        <v>582</v>
      </c>
      <c r="E39" s="326">
        <v>0</v>
      </c>
      <c r="F39" s="326">
        <v>0</v>
      </c>
      <c r="G39" s="326">
        <v>0</v>
      </c>
      <c r="H39" s="326">
        <v>2710</v>
      </c>
      <c r="I39" s="1198">
        <v>3000</v>
      </c>
      <c r="J39" s="326">
        <v>3000</v>
      </c>
      <c r="K39" s="326">
        <v>3000</v>
      </c>
      <c r="L39" s="39"/>
      <c r="M39" s="39"/>
      <c r="N39" s="39"/>
      <c r="P39" s="1010"/>
    </row>
    <row r="40" spans="1:16" s="64" customFormat="1" ht="11.25">
      <c r="A40" s="1128"/>
      <c r="B40" s="1125"/>
      <c r="C40" s="1126"/>
      <c r="D40" s="1127"/>
      <c r="E40" s="594"/>
      <c r="F40" s="594"/>
      <c r="G40" s="594"/>
      <c r="H40" s="594"/>
      <c r="I40" s="563"/>
      <c r="J40" s="594"/>
      <c r="K40" s="594"/>
      <c r="L40" s="39"/>
      <c r="M40" s="39"/>
      <c r="N40" s="39"/>
      <c r="P40" s="1010"/>
    </row>
    <row r="41" spans="1:16" s="64" customFormat="1" ht="11.25">
      <c r="A41" s="1128"/>
      <c r="B41" s="1125"/>
      <c r="C41" s="1126"/>
      <c r="D41" s="1127"/>
      <c r="E41" s="594"/>
      <c r="F41" s="594"/>
      <c r="G41" s="594"/>
      <c r="H41" s="594"/>
      <c r="I41" s="563"/>
      <c r="J41" s="594"/>
      <c r="K41" s="594"/>
      <c r="L41" s="39"/>
      <c r="M41" s="39"/>
      <c r="N41" s="39"/>
      <c r="P41" s="1010"/>
    </row>
    <row r="42" spans="1:16" s="64" customFormat="1" ht="15" thickBot="1">
      <c r="A42" s="23"/>
      <c r="B42" s="204" t="s">
        <v>304</v>
      </c>
      <c r="C42"/>
      <c r="D42"/>
      <c r="E42"/>
      <c r="F42"/>
      <c r="G42"/>
      <c r="H42"/>
      <c r="P42" s="1010"/>
    </row>
    <row r="43" spans="1:16" s="64" customFormat="1" ht="15.75" thickBot="1">
      <c r="A43" s="1248" t="s">
        <v>10</v>
      </c>
      <c r="B43" s="1249"/>
      <c r="C43" s="1249"/>
      <c r="D43" s="1249"/>
      <c r="E43" s="200" t="s">
        <v>283</v>
      </c>
      <c r="F43" s="508" t="s">
        <v>368</v>
      </c>
      <c r="G43" s="121" t="s">
        <v>369</v>
      </c>
      <c r="H43" s="121" t="s">
        <v>286</v>
      </c>
      <c r="I43" s="535" t="s">
        <v>13</v>
      </c>
      <c r="J43" s="513" t="s">
        <v>13</v>
      </c>
      <c r="K43" s="512" t="s">
        <v>13</v>
      </c>
      <c r="P43" s="1010"/>
    </row>
    <row r="44" spans="1:16" s="64" customFormat="1" ht="11.25">
      <c r="A44" s="42"/>
      <c r="B44" s="43"/>
      <c r="C44" s="44"/>
      <c r="D44" s="337"/>
      <c r="E44" s="193"/>
      <c r="F44" s="193"/>
      <c r="G44" s="510" t="s">
        <v>285</v>
      </c>
      <c r="H44" s="510" t="s">
        <v>287</v>
      </c>
      <c r="I44" s="536"/>
      <c r="J44" s="1079" t="s">
        <v>505</v>
      </c>
      <c r="K44" s="1079" t="s">
        <v>505</v>
      </c>
      <c r="P44" s="1010"/>
    </row>
    <row r="45" spans="1:16" s="64" customFormat="1" ht="15.75">
      <c r="A45" s="28"/>
      <c r="B45" s="332" t="s">
        <v>9</v>
      </c>
      <c r="C45" s="333" t="s">
        <v>303</v>
      </c>
      <c r="D45" s="338"/>
      <c r="E45" s="195">
        <v>2018</v>
      </c>
      <c r="F45" s="509" t="s">
        <v>367</v>
      </c>
      <c r="G45" s="511">
        <v>2020</v>
      </c>
      <c r="H45" s="196" t="s">
        <v>373</v>
      </c>
      <c r="I45" s="537">
        <v>2021</v>
      </c>
      <c r="J45" s="515" t="s">
        <v>432</v>
      </c>
      <c r="K45" s="514">
        <v>2023</v>
      </c>
      <c r="P45" s="1010"/>
    </row>
    <row r="46" spans="1:16" s="64" customFormat="1" ht="12" thickBot="1">
      <c r="A46" s="32"/>
      <c r="B46" s="334" t="s">
        <v>305</v>
      </c>
      <c r="C46" s="4" t="s">
        <v>74</v>
      </c>
      <c r="D46" s="340" t="s">
        <v>5</v>
      </c>
      <c r="E46" s="198" t="s">
        <v>276</v>
      </c>
      <c r="F46" s="198" t="s">
        <v>276</v>
      </c>
      <c r="G46" s="199" t="s">
        <v>276</v>
      </c>
      <c r="H46" s="199" t="s">
        <v>276</v>
      </c>
      <c r="I46" s="538" t="s">
        <v>276</v>
      </c>
      <c r="J46" s="517" t="s">
        <v>276</v>
      </c>
      <c r="K46" s="516" t="s">
        <v>276</v>
      </c>
      <c r="P46" s="1010"/>
    </row>
    <row r="47" spans="1:16" s="64" customFormat="1" ht="12.75" thickBot="1" thickTop="1">
      <c r="A47" s="328">
        <v>1</v>
      </c>
      <c r="B47" s="316" t="s">
        <v>306</v>
      </c>
      <c r="C47" s="317"/>
      <c r="D47" s="524"/>
      <c r="E47" s="339">
        <f>E48</f>
        <v>46008.83</v>
      </c>
      <c r="F47" s="339">
        <f>F48</f>
        <v>6528</v>
      </c>
      <c r="G47" s="339">
        <f aca="true" t="shared" si="3" ref="G47:K48">G48</f>
        <v>0</v>
      </c>
      <c r="H47" s="339">
        <f t="shared" si="3"/>
        <v>3009.36</v>
      </c>
      <c r="I47" s="339">
        <f t="shared" si="3"/>
        <v>0</v>
      </c>
      <c r="J47" s="339">
        <f t="shared" si="3"/>
        <v>0</v>
      </c>
      <c r="K47" s="339">
        <f t="shared" si="3"/>
        <v>0</v>
      </c>
      <c r="P47" s="1010"/>
    </row>
    <row r="48" spans="1:16" s="64" customFormat="1" ht="12" thickTop="1">
      <c r="A48" s="328">
        <v>2</v>
      </c>
      <c r="B48" s="331">
        <v>1</v>
      </c>
      <c r="C48" s="318" t="s">
        <v>76</v>
      </c>
      <c r="D48" s="525"/>
      <c r="E48" s="327">
        <f>E49</f>
        <v>46008.83</v>
      </c>
      <c r="F48" s="327">
        <f>F49</f>
        <v>6528</v>
      </c>
      <c r="G48" s="327">
        <f t="shared" si="3"/>
        <v>0</v>
      </c>
      <c r="H48" s="327">
        <f t="shared" si="3"/>
        <v>3009.36</v>
      </c>
      <c r="I48" s="327">
        <f t="shared" si="3"/>
        <v>0</v>
      </c>
      <c r="J48" s="327">
        <f t="shared" si="3"/>
        <v>0</v>
      </c>
      <c r="K48" s="327">
        <f t="shared" si="3"/>
        <v>0</v>
      </c>
      <c r="P48" s="1010"/>
    </row>
    <row r="49" spans="1:16" s="64" customFormat="1" ht="11.25">
      <c r="A49" s="328">
        <v>3</v>
      </c>
      <c r="B49" s="319" t="s">
        <v>254</v>
      </c>
      <c r="C49" s="320" t="s">
        <v>76</v>
      </c>
      <c r="D49" s="526"/>
      <c r="E49" s="225">
        <f>SUM(E50:E51)</f>
        <v>46008.83</v>
      </c>
      <c r="F49" s="225">
        <f aca="true" t="shared" si="4" ref="F49:K49">SUM(F50:F51)</f>
        <v>6528</v>
      </c>
      <c r="G49" s="225">
        <f t="shared" si="4"/>
        <v>0</v>
      </c>
      <c r="H49" s="225">
        <f t="shared" si="4"/>
        <v>3009.36</v>
      </c>
      <c r="I49" s="225">
        <f t="shared" si="4"/>
        <v>0</v>
      </c>
      <c r="J49" s="225">
        <f t="shared" si="4"/>
        <v>0</v>
      </c>
      <c r="K49" s="225">
        <f t="shared" si="4"/>
        <v>0</v>
      </c>
      <c r="P49" s="1010"/>
    </row>
    <row r="50" spans="1:16" s="64" customFormat="1" ht="11.25">
      <c r="A50" s="328">
        <v>4</v>
      </c>
      <c r="B50" s="621"/>
      <c r="C50" s="622">
        <v>700</v>
      </c>
      <c r="D50" s="527" t="s">
        <v>569</v>
      </c>
      <c r="E50" s="413">
        <v>16008.83</v>
      </c>
      <c r="F50" s="413">
        <v>6528</v>
      </c>
      <c r="G50" s="413">
        <v>0</v>
      </c>
      <c r="H50" s="413">
        <v>3009.36</v>
      </c>
      <c r="I50" s="413">
        <v>0</v>
      </c>
      <c r="J50" s="413">
        <v>0</v>
      </c>
      <c r="K50" s="413">
        <v>0</v>
      </c>
      <c r="P50" s="1010"/>
    </row>
    <row r="51" spans="1:16" s="64" customFormat="1" ht="22.5">
      <c r="A51" s="328">
        <v>5</v>
      </c>
      <c r="B51" s="621"/>
      <c r="C51" s="622">
        <v>700</v>
      </c>
      <c r="D51" s="941" t="s">
        <v>424</v>
      </c>
      <c r="E51" s="413">
        <v>30000</v>
      </c>
      <c r="F51" s="413">
        <v>0</v>
      </c>
      <c r="G51" s="413">
        <v>0</v>
      </c>
      <c r="H51" s="413">
        <v>0</v>
      </c>
      <c r="I51" s="413">
        <v>0</v>
      </c>
      <c r="J51" s="413">
        <v>0</v>
      </c>
      <c r="K51" s="413">
        <v>0</v>
      </c>
      <c r="P51" s="1010"/>
    </row>
    <row r="52" spans="4:8" ht="12.75">
      <c r="D52" s="108"/>
      <c r="E52" s="90"/>
      <c r="F52" s="90"/>
      <c r="G52" s="90"/>
      <c r="H52" s="90"/>
    </row>
    <row r="53" ht="12.75">
      <c r="D53" s="108"/>
    </row>
    <row r="54" ht="12.75">
      <c r="D54" s="109"/>
    </row>
    <row r="55" ht="12.75">
      <c r="D55" s="108"/>
    </row>
    <row r="56" ht="12.75">
      <c r="D56" s="85"/>
    </row>
    <row r="57" ht="12.75">
      <c r="D57" s="86"/>
    </row>
    <row r="58" ht="12.75">
      <c r="D58" s="86"/>
    </row>
    <row r="59" ht="12.75">
      <c r="D59" s="86"/>
    </row>
    <row r="60" ht="12.75">
      <c r="D60" s="86"/>
    </row>
    <row r="61" ht="12.75">
      <c r="D61" s="87"/>
    </row>
    <row r="62" ht="12.75">
      <c r="D62" s="56"/>
    </row>
    <row r="63" ht="12.75">
      <c r="D63" s="88"/>
    </row>
    <row r="64" ht="12.75">
      <c r="D64" s="56"/>
    </row>
    <row r="65" ht="12.75">
      <c r="D65" s="84"/>
    </row>
    <row r="66" ht="12.75">
      <c r="D66" s="89"/>
    </row>
    <row r="67" ht="12.75">
      <c r="D67" s="90"/>
    </row>
    <row r="68" ht="12.75">
      <c r="D68" s="90"/>
    </row>
    <row r="69" spans="3:16" s="64" customFormat="1" ht="11.25">
      <c r="C69" s="48"/>
      <c r="P69" s="1010"/>
    </row>
    <row r="70" spans="2:16" s="64" customFormat="1" ht="11.25">
      <c r="B70" s="173"/>
      <c r="C70" s="156"/>
      <c r="P70" s="1010"/>
    </row>
    <row r="71" spans="2:16" s="64" customFormat="1" ht="11.25">
      <c r="B71" s="173"/>
      <c r="C71" s="156"/>
      <c r="E71" s="182"/>
      <c r="F71" s="182"/>
      <c r="G71" s="182"/>
      <c r="H71" s="182"/>
      <c r="P71" s="1010"/>
    </row>
    <row r="72" spans="2:16" s="64" customFormat="1" ht="11.25">
      <c r="B72" s="173"/>
      <c r="C72" s="156"/>
      <c r="E72" s="182"/>
      <c r="F72" s="182"/>
      <c r="G72" s="182"/>
      <c r="H72" s="182"/>
      <c r="P72" s="1010"/>
    </row>
    <row r="73" spans="2:16" s="64" customFormat="1" ht="11.25">
      <c r="B73" s="190"/>
      <c r="C73" s="169"/>
      <c r="D73" s="185"/>
      <c r="E73" s="182"/>
      <c r="F73" s="182"/>
      <c r="G73" s="182"/>
      <c r="H73" s="182"/>
      <c r="P73" s="1010"/>
    </row>
    <row r="74" spans="2:16" s="64" customFormat="1" ht="11.25">
      <c r="B74" s="173"/>
      <c r="C74" s="156"/>
      <c r="E74" s="182"/>
      <c r="F74" s="182"/>
      <c r="G74" s="182"/>
      <c r="H74" s="182"/>
      <c r="P74" s="1010"/>
    </row>
    <row r="75" spans="2:16" s="64" customFormat="1" ht="11.25">
      <c r="B75" s="173"/>
      <c r="C75" s="169"/>
      <c r="E75" s="182"/>
      <c r="F75" s="182"/>
      <c r="G75" s="182"/>
      <c r="H75" s="182"/>
      <c r="P75" s="1010"/>
    </row>
    <row r="76" spans="2:16" s="64" customFormat="1" ht="11.25">
      <c r="B76" s="173"/>
      <c r="C76" s="156"/>
      <c r="E76" s="182"/>
      <c r="F76" s="182"/>
      <c r="G76" s="182"/>
      <c r="H76" s="182"/>
      <c r="P76" s="1010"/>
    </row>
    <row r="77" spans="2:16" s="64" customFormat="1" ht="11.25">
      <c r="B77" s="48"/>
      <c r="C77" s="156"/>
      <c r="E77" s="183"/>
      <c r="F77" s="183"/>
      <c r="G77" s="183"/>
      <c r="H77" s="183"/>
      <c r="P77" s="1010"/>
    </row>
    <row r="78" spans="2:16" s="64" customFormat="1" ht="11.25">
      <c r="B78" s="48"/>
      <c r="C78" s="156"/>
      <c r="E78" s="170"/>
      <c r="F78" s="170"/>
      <c r="G78" s="170"/>
      <c r="H78" s="170"/>
      <c r="P78" s="1010"/>
    </row>
    <row r="79" spans="2:16" s="64" customFormat="1" ht="11.25">
      <c r="B79" s="48"/>
      <c r="C79" s="169"/>
      <c r="E79" s="184"/>
      <c r="F79" s="184"/>
      <c r="G79" s="184"/>
      <c r="H79" s="184"/>
      <c r="P79" s="1010"/>
    </row>
    <row r="80" spans="2:16" s="64" customFormat="1" ht="11.25">
      <c r="B80" s="174"/>
      <c r="D80" s="187"/>
      <c r="E80" s="189"/>
      <c r="F80" s="189"/>
      <c r="G80" s="189"/>
      <c r="H80" s="189"/>
      <c r="P80" s="1010"/>
    </row>
    <row r="81" spans="2:16" s="64" customFormat="1" ht="11.25">
      <c r="B81" s="48"/>
      <c r="D81" s="188"/>
      <c r="E81" s="189"/>
      <c r="F81" s="189"/>
      <c r="G81" s="189"/>
      <c r="H81" s="189"/>
      <c r="P81" s="1010"/>
    </row>
  </sheetData>
  <sheetProtection/>
  <mergeCells count="2">
    <mergeCell ref="A43:D43"/>
    <mergeCell ref="A2:D2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zoomScale="130" zoomScaleNormal="130" zoomScalePageLayoutView="0" workbookViewId="0" topLeftCell="A1">
      <pane ySplit="5" topLeftCell="A27" activePane="bottomLeft" state="frozen"/>
      <selection pane="topLeft" activeCell="A1" sqref="A1"/>
      <selection pane="bottomLeft" activeCell="N16" sqref="N16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5.00390625" style="0" customWidth="1"/>
    <col min="4" max="4" width="26.00390625" style="0" customWidth="1"/>
    <col min="5" max="5" width="8.8515625" style="0" bestFit="1" customWidth="1"/>
    <col min="6" max="6" width="10.140625" style="0" bestFit="1" customWidth="1"/>
    <col min="7" max="7" width="9.421875" style="0" bestFit="1" customWidth="1"/>
    <col min="8" max="8" width="10.140625" style="0" bestFit="1" customWidth="1"/>
    <col min="9" max="11" width="9.28125" style="0" bestFit="1" customWidth="1"/>
    <col min="13" max="13" width="10.140625" style="0" bestFit="1" customWidth="1"/>
  </cols>
  <sheetData>
    <row r="1" spans="1:2" ht="15" thickBot="1">
      <c r="A1" s="23"/>
      <c r="B1" s="204" t="s">
        <v>311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4"/>
      <c r="B3" s="125"/>
      <c r="C3" s="126"/>
      <c r="D3" s="127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51" t="s">
        <v>310</v>
      </c>
      <c r="C4" s="205" t="s">
        <v>312</v>
      </c>
      <c r="D4" s="528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307"/>
      <c r="B5" s="53" t="s">
        <v>305</v>
      </c>
      <c r="C5" s="207" t="s">
        <v>74</v>
      </c>
      <c r="D5" s="350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3" ht="14.25" thickBot="1" thickTop="1">
      <c r="A6" s="341">
        <v>1</v>
      </c>
      <c r="B6" s="213" t="s">
        <v>151</v>
      </c>
      <c r="C6" s="135"/>
      <c r="D6" s="380"/>
      <c r="E6" s="354">
        <f>E7+E13</f>
        <v>108642.87000000001</v>
      </c>
      <c r="F6" s="354">
        <f aca="true" t="shared" si="0" ref="F6:K6">F7+F13</f>
        <v>121342</v>
      </c>
      <c r="G6" s="354">
        <f t="shared" si="0"/>
        <v>152271.6</v>
      </c>
      <c r="H6" s="354">
        <f t="shared" si="0"/>
        <v>150874.97999999998</v>
      </c>
      <c r="I6" s="354">
        <f t="shared" si="0"/>
        <v>159100.38</v>
      </c>
      <c r="J6" s="354">
        <f t="shared" si="0"/>
        <v>159668.644</v>
      </c>
      <c r="K6" s="354">
        <f t="shared" si="0"/>
        <v>159903.55592</v>
      </c>
      <c r="M6" s="551"/>
    </row>
    <row r="7" spans="1:11" ht="13.5" thickTop="1">
      <c r="A7" s="342">
        <v>2</v>
      </c>
      <c r="B7" s="343">
        <v>1</v>
      </c>
      <c r="C7" s="219" t="s">
        <v>150</v>
      </c>
      <c r="D7" s="382"/>
      <c r="E7" s="244">
        <f aca="true" t="shared" si="1" ref="E7:K7">E8</f>
        <v>51030.8</v>
      </c>
      <c r="F7" s="244">
        <f t="shared" si="1"/>
        <v>61199.99</v>
      </c>
      <c r="G7" s="244">
        <f t="shared" si="1"/>
        <v>89893</v>
      </c>
      <c r="H7" s="244">
        <f t="shared" si="1"/>
        <v>74771.58</v>
      </c>
      <c r="I7" s="244">
        <f t="shared" si="1"/>
        <v>73121.58</v>
      </c>
      <c r="J7" s="244">
        <f t="shared" si="1"/>
        <v>73121.58</v>
      </c>
      <c r="K7" s="244">
        <f t="shared" si="1"/>
        <v>73121.58</v>
      </c>
    </row>
    <row r="8" spans="1:13" ht="12.75">
      <c r="A8" s="342">
        <v>3</v>
      </c>
      <c r="B8" s="344" t="s">
        <v>255</v>
      </c>
      <c r="C8" s="272" t="s">
        <v>3</v>
      </c>
      <c r="D8" s="529"/>
      <c r="E8" s="225">
        <f>E9+E10+E11+E12</f>
        <v>51030.8</v>
      </c>
      <c r="F8" s="225">
        <f aca="true" t="shared" si="2" ref="F8:K8">F9+F10+F11+F12</f>
        <v>61199.99</v>
      </c>
      <c r="G8" s="225">
        <f t="shared" si="2"/>
        <v>89893</v>
      </c>
      <c r="H8" s="225">
        <f t="shared" si="2"/>
        <v>74771.58</v>
      </c>
      <c r="I8" s="225">
        <f t="shared" si="2"/>
        <v>73121.58</v>
      </c>
      <c r="J8" s="225">
        <f t="shared" si="2"/>
        <v>73121.58</v>
      </c>
      <c r="K8" s="225">
        <f t="shared" si="2"/>
        <v>73121.58</v>
      </c>
      <c r="M8" s="551"/>
    </row>
    <row r="9" spans="1:11" ht="12.75">
      <c r="A9" s="342">
        <v>4</v>
      </c>
      <c r="B9" s="345"/>
      <c r="C9" s="346" t="s">
        <v>289</v>
      </c>
      <c r="D9" s="228" t="s">
        <v>248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0</v>
      </c>
    </row>
    <row r="10" spans="1:14" ht="12.75">
      <c r="A10" s="342">
        <v>5</v>
      </c>
      <c r="B10" s="345"/>
      <c r="C10" s="346" t="s">
        <v>289</v>
      </c>
      <c r="D10" s="228" t="s">
        <v>178</v>
      </c>
      <c r="E10" s="263">
        <v>51030.8</v>
      </c>
      <c r="F10" s="263">
        <v>61199.99</v>
      </c>
      <c r="G10" s="263">
        <v>87893</v>
      </c>
      <c r="H10" s="263">
        <v>67676</v>
      </c>
      <c r="I10" s="263">
        <v>72771.58</v>
      </c>
      <c r="J10" s="263">
        <v>72771.58</v>
      </c>
      <c r="K10" s="263">
        <v>72771.58</v>
      </c>
      <c r="N10" s="563"/>
    </row>
    <row r="11" spans="1:11" ht="12.75">
      <c r="A11" s="342">
        <v>6</v>
      </c>
      <c r="B11" s="345"/>
      <c r="C11" s="346" t="s">
        <v>289</v>
      </c>
      <c r="D11" s="228" t="s">
        <v>309</v>
      </c>
      <c r="E11" s="263">
        <v>0</v>
      </c>
      <c r="F11" s="263">
        <v>0</v>
      </c>
      <c r="G11" s="263">
        <v>0</v>
      </c>
      <c r="H11" s="263">
        <v>5095.58</v>
      </c>
      <c r="I11" s="263">
        <v>0</v>
      </c>
      <c r="J11" s="263">
        <v>0</v>
      </c>
      <c r="K11" s="263">
        <v>0</v>
      </c>
    </row>
    <row r="12" spans="1:11" ht="12.75">
      <c r="A12" s="342">
        <v>7</v>
      </c>
      <c r="B12" s="345"/>
      <c r="C12" s="346" t="s">
        <v>289</v>
      </c>
      <c r="D12" s="228" t="s">
        <v>212</v>
      </c>
      <c r="E12" s="263">
        <v>0</v>
      </c>
      <c r="F12" s="263">
        <v>0</v>
      </c>
      <c r="G12" s="263">
        <v>2000</v>
      </c>
      <c r="H12" s="263">
        <v>2000</v>
      </c>
      <c r="I12" s="263">
        <v>350</v>
      </c>
      <c r="J12" s="263">
        <v>350</v>
      </c>
      <c r="K12" s="263">
        <v>350</v>
      </c>
    </row>
    <row r="13" spans="1:11" ht="12.75">
      <c r="A13" s="342">
        <v>8</v>
      </c>
      <c r="B13" s="347">
        <v>2</v>
      </c>
      <c r="C13" s="232" t="s">
        <v>85</v>
      </c>
      <c r="D13" s="388"/>
      <c r="E13" s="260">
        <f>E14+E21</f>
        <v>57612.07000000001</v>
      </c>
      <c r="F13" s="260">
        <f aca="true" t="shared" si="3" ref="F13:K13">F14+F21</f>
        <v>60142.01</v>
      </c>
      <c r="G13" s="260">
        <f t="shared" si="3"/>
        <v>62378.6</v>
      </c>
      <c r="H13" s="260">
        <f t="shared" si="3"/>
        <v>76103.4</v>
      </c>
      <c r="I13" s="260">
        <f t="shared" si="3"/>
        <v>85978.8</v>
      </c>
      <c r="J13" s="260">
        <f t="shared" si="3"/>
        <v>86547.064</v>
      </c>
      <c r="K13" s="260">
        <f t="shared" si="3"/>
        <v>86781.97592</v>
      </c>
    </row>
    <row r="14" spans="1:11" ht="12.75">
      <c r="A14" s="342">
        <v>9</v>
      </c>
      <c r="B14" s="348" t="s">
        <v>256</v>
      </c>
      <c r="C14" s="272" t="s">
        <v>85</v>
      </c>
      <c r="D14" s="529"/>
      <c r="E14" s="225">
        <f>E15+E16+E17+E18+E19+E20</f>
        <v>35046.05</v>
      </c>
      <c r="F14" s="225">
        <f aca="true" t="shared" si="4" ref="F14:K14">F15+F16+F17+F18+F19+F20</f>
        <v>38751.48</v>
      </c>
      <c r="G14" s="225">
        <f t="shared" si="4"/>
        <v>39455</v>
      </c>
      <c r="H14" s="225">
        <f t="shared" si="4"/>
        <v>49515</v>
      </c>
      <c r="I14" s="225">
        <f t="shared" si="4"/>
        <v>47400</v>
      </c>
      <c r="J14" s="225">
        <f t="shared" si="4"/>
        <v>47500</v>
      </c>
      <c r="K14" s="225">
        <f t="shared" si="4"/>
        <v>47400</v>
      </c>
    </row>
    <row r="15" spans="1:13" ht="12.75">
      <c r="A15" s="342">
        <v>10</v>
      </c>
      <c r="B15" s="349"/>
      <c r="C15" s="346" t="s">
        <v>289</v>
      </c>
      <c r="D15" s="228" t="s">
        <v>117</v>
      </c>
      <c r="E15" s="229">
        <v>18162.47</v>
      </c>
      <c r="F15" s="229">
        <v>22778.77</v>
      </c>
      <c r="G15" s="229">
        <v>26450</v>
      </c>
      <c r="H15" s="229">
        <v>26450</v>
      </c>
      <c r="I15" s="229">
        <f>H15*1.1</f>
        <v>29095.000000000004</v>
      </c>
      <c r="J15" s="229">
        <v>29095</v>
      </c>
      <c r="K15" s="229">
        <v>29095</v>
      </c>
      <c r="L15" s="647"/>
      <c r="M15" s="552"/>
    </row>
    <row r="16" spans="1:16" ht="33.75">
      <c r="A16" s="342">
        <v>11</v>
      </c>
      <c r="B16" s="349"/>
      <c r="C16" s="346" t="s">
        <v>289</v>
      </c>
      <c r="D16" s="210" t="s">
        <v>370</v>
      </c>
      <c r="E16" s="229">
        <v>10494.42</v>
      </c>
      <c r="F16" s="229">
        <v>9206</v>
      </c>
      <c r="G16" s="229">
        <v>8000</v>
      </c>
      <c r="H16" s="229">
        <v>17000</v>
      </c>
      <c r="I16" s="229">
        <v>12000</v>
      </c>
      <c r="J16" s="229">
        <v>12000</v>
      </c>
      <c r="K16" s="229">
        <v>12000</v>
      </c>
      <c r="L16" s="548"/>
      <c r="P16" s="505"/>
    </row>
    <row r="17" spans="1:11" ht="12.75">
      <c r="A17" s="342">
        <v>12</v>
      </c>
      <c r="B17" s="349"/>
      <c r="C17" s="346" t="s">
        <v>289</v>
      </c>
      <c r="D17" s="228" t="s">
        <v>118</v>
      </c>
      <c r="E17" s="229">
        <v>2952</v>
      </c>
      <c r="F17" s="229">
        <v>2996</v>
      </c>
      <c r="G17" s="229">
        <v>1500</v>
      </c>
      <c r="H17" s="229">
        <v>2800</v>
      </c>
      <c r="I17" s="229">
        <v>2800</v>
      </c>
      <c r="J17" s="229">
        <v>2800</v>
      </c>
      <c r="K17" s="229">
        <v>2800</v>
      </c>
    </row>
    <row r="18" spans="1:11" ht="12.75">
      <c r="A18" s="342">
        <v>13</v>
      </c>
      <c r="B18" s="349"/>
      <c r="C18" s="346" t="s">
        <v>289</v>
      </c>
      <c r="D18" s="228" t="s">
        <v>191</v>
      </c>
      <c r="E18" s="229">
        <v>404.86</v>
      </c>
      <c r="F18" s="229">
        <v>298.75</v>
      </c>
      <c r="G18" s="229">
        <v>405</v>
      </c>
      <c r="H18" s="229">
        <v>405</v>
      </c>
      <c r="I18" s="229">
        <v>405</v>
      </c>
      <c r="J18" s="229">
        <v>405</v>
      </c>
      <c r="K18" s="229">
        <v>405</v>
      </c>
    </row>
    <row r="19" spans="1:11" ht="12.75">
      <c r="A19" s="342">
        <v>14</v>
      </c>
      <c r="B19" s="349"/>
      <c r="C19" s="346" t="s">
        <v>289</v>
      </c>
      <c r="D19" s="228" t="s">
        <v>142</v>
      </c>
      <c r="E19" s="229">
        <v>0</v>
      </c>
      <c r="F19" s="229">
        <v>0</v>
      </c>
      <c r="G19" s="229">
        <v>100</v>
      </c>
      <c r="H19" s="229">
        <v>100</v>
      </c>
      <c r="I19" s="229">
        <v>100</v>
      </c>
      <c r="J19" s="229">
        <v>200</v>
      </c>
      <c r="K19" s="229">
        <v>100</v>
      </c>
    </row>
    <row r="20" spans="1:11" ht="12.75">
      <c r="A20" s="342">
        <v>15</v>
      </c>
      <c r="B20" s="349"/>
      <c r="C20" s="346" t="s">
        <v>289</v>
      </c>
      <c r="D20" s="228" t="s">
        <v>353</v>
      </c>
      <c r="E20" s="229">
        <v>3032.3</v>
      </c>
      <c r="F20" s="229">
        <v>3471.96</v>
      </c>
      <c r="G20" s="229">
        <v>3000</v>
      </c>
      <c r="H20" s="229">
        <v>2760</v>
      </c>
      <c r="I20" s="229">
        <f>(210*12)+480</f>
        <v>3000</v>
      </c>
      <c r="J20" s="229">
        <f>(210*12)+480</f>
        <v>3000</v>
      </c>
      <c r="K20" s="229">
        <f>(210*12)+480</f>
        <v>3000</v>
      </c>
    </row>
    <row r="21" spans="1:11" ht="12.75">
      <c r="A21" s="342">
        <v>16</v>
      </c>
      <c r="B21" s="348" t="s">
        <v>256</v>
      </c>
      <c r="C21" s="272" t="s">
        <v>119</v>
      </c>
      <c r="D21" s="529"/>
      <c r="E21" s="225">
        <f>E22+E23+E24+E25+E26+E27</f>
        <v>22566.02</v>
      </c>
      <c r="F21" s="225">
        <f aca="true" t="shared" si="5" ref="F21:K21">F22+F23+F24+F25+F26+F27</f>
        <v>21390.53</v>
      </c>
      <c r="G21" s="225">
        <f t="shared" si="5"/>
        <v>22923.6</v>
      </c>
      <c r="H21" s="225">
        <f t="shared" si="5"/>
        <v>26588.4</v>
      </c>
      <c r="I21" s="225">
        <f t="shared" si="5"/>
        <v>38578.8</v>
      </c>
      <c r="J21" s="225">
        <f t="shared" si="5"/>
        <v>39047.064</v>
      </c>
      <c r="K21" s="225">
        <f t="shared" si="5"/>
        <v>39381.97592</v>
      </c>
    </row>
    <row r="22" spans="1:11" ht="19.5">
      <c r="A22" s="342">
        <v>17</v>
      </c>
      <c r="B22" s="616"/>
      <c r="C22" s="617">
        <v>610</v>
      </c>
      <c r="D22" s="1012" t="s">
        <v>627</v>
      </c>
      <c r="E22" s="263">
        <v>8857.3</v>
      </c>
      <c r="F22" s="263">
        <v>10015.91</v>
      </c>
      <c r="G22" s="263">
        <v>11800</v>
      </c>
      <c r="H22" s="263">
        <v>11700</v>
      </c>
      <c r="I22" s="263">
        <v>21900</v>
      </c>
      <c r="J22" s="263">
        <f>I22*1.03</f>
        <v>22557</v>
      </c>
      <c r="K22" s="263">
        <f>J22*1.03</f>
        <v>23233.71</v>
      </c>
    </row>
    <row r="23" spans="1:11" ht="12.75">
      <c r="A23" s="342">
        <v>18</v>
      </c>
      <c r="B23" s="616"/>
      <c r="C23" s="617">
        <v>620</v>
      </c>
      <c r="D23" s="228" t="s">
        <v>412</v>
      </c>
      <c r="E23" s="263">
        <v>3118.36</v>
      </c>
      <c r="F23" s="263">
        <v>3731.9</v>
      </c>
      <c r="G23" s="263">
        <v>4153.6</v>
      </c>
      <c r="H23" s="263">
        <v>4118.4</v>
      </c>
      <c r="I23" s="263">
        <f>I22*0.352</f>
        <v>7708.799999999999</v>
      </c>
      <c r="J23" s="263">
        <f>J22*0.352</f>
        <v>7940.063999999999</v>
      </c>
      <c r="K23" s="263">
        <f>K22*0.352</f>
        <v>8178.265919999999</v>
      </c>
    </row>
    <row r="24" spans="1:11" ht="22.5">
      <c r="A24" s="342">
        <v>19</v>
      </c>
      <c r="B24" s="349"/>
      <c r="C24" s="346" t="s">
        <v>289</v>
      </c>
      <c r="D24" s="210" t="s">
        <v>413</v>
      </c>
      <c r="E24" s="229">
        <v>6089.86</v>
      </c>
      <c r="F24" s="229">
        <v>1940.63</v>
      </c>
      <c r="G24" s="229">
        <v>1500</v>
      </c>
      <c r="H24" s="229">
        <v>5300</v>
      </c>
      <c r="I24" s="229">
        <v>3500</v>
      </c>
      <c r="J24" s="229">
        <v>3000</v>
      </c>
      <c r="K24" s="229">
        <v>2500</v>
      </c>
    </row>
    <row r="25" spans="1:11" ht="12.75">
      <c r="A25" s="342">
        <v>20</v>
      </c>
      <c r="B25" s="349"/>
      <c r="C25" s="346" t="s">
        <v>289</v>
      </c>
      <c r="D25" s="228" t="s">
        <v>97</v>
      </c>
      <c r="E25" s="229">
        <v>4400.94</v>
      </c>
      <c r="F25" s="229">
        <v>5460.81</v>
      </c>
      <c r="G25" s="229">
        <v>5000</v>
      </c>
      <c r="H25" s="229">
        <v>5000</v>
      </c>
      <c r="I25" s="229">
        <v>5000</v>
      </c>
      <c r="J25" s="229">
        <v>5000</v>
      </c>
      <c r="K25" s="229">
        <v>5000</v>
      </c>
    </row>
    <row r="26" spans="1:11" ht="12.75">
      <c r="A26" s="342">
        <v>21</v>
      </c>
      <c r="B26" s="349"/>
      <c r="C26" s="346" t="s">
        <v>289</v>
      </c>
      <c r="D26" s="228" t="s">
        <v>244</v>
      </c>
      <c r="E26" s="229">
        <v>99.56</v>
      </c>
      <c r="F26" s="229">
        <v>56.28</v>
      </c>
      <c r="G26" s="229">
        <v>350</v>
      </c>
      <c r="H26" s="229">
        <v>350</v>
      </c>
      <c r="I26" s="229">
        <v>350</v>
      </c>
      <c r="J26" s="229">
        <v>350</v>
      </c>
      <c r="K26" s="229">
        <v>350</v>
      </c>
    </row>
    <row r="27" spans="1:11" ht="13.5" thickBot="1">
      <c r="A27" s="351">
        <v>22</v>
      </c>
      <c r="B27" s="352"/>
      <c r="C27" s="353" t="s">
        <v>289</v>
      </c>
      <c r="D27" s="429" t="s">
        <v>121</v>
      </c>
      <c r="E27" s="267">
        <v>0</v>
      </c>
      <c r="F27" s="267">
        <v>185</v>
      </c>
      <c r="G27" s="267">
        <v>120</v>
      </c>
      <c r="H27" s="267">
        <v>120</v>
      </c>
      <c r="I27" s="267">
        <v>120</v>
      </c>
      <c r="J27" s="267">
        <v>200</v>
      </c>
      <c r="K27" s="267">
        <v>120</v>
      </c>
    </row>
    <row r="28" spans="1:13" s="64" customFormat="1" ht="24" thickBot="1">
      <c r="A28" s="23"/>
      <c r="B28" s="204" t="s">
        <v>311</v>
      </c>
      <c r="C28"/>
      <c r="D28"/>
      <c r="E28"/>
      <c r="F28"/>
      <c r="G28"/>
      <c r="H28"/>
      <c r="M28" s="612"/>
    </row>
    <row r="29" spans="1:11" s="64" customFormat="1" ht="15.75" thickBot="1">
      <c r="A29" s="1248" t="s">
        <v>10</v>
      </c>
      <c r="B29" s="1249"/>
      <c r="C29" s="1249"/>
      <c r="D29" s="1250"/>
      <c r="E29" s="588" t="s">
        <v>283</v>
      </c>
      <c r="F29" s="508" t="s">
        <v>368</v>
      </c>
      <c r="G29" s="596" t="s">
        <v>369</v>
      </c>
      <c r="H29" s="121" t="s">
        <v>286</v>
      </c>
      <c r="I29" s="600" t="s">
        <v>13</v>
      </c>
      <c r="J29" s="513" t="s">
        <v>13</v>
      </c>
      <c r="K29" s="604" t="s">
        <v>13</v>
      </c>
    </row>
    <row r="30" spans="1:11" s="64" customFormat="1" ht="11.25">
      <c r="A30" s="42"/>
      <c r="B30" s="43"/>
      <c r="C30" s="44"/>
      <c r="D30" s="582"/>
      <c r="E30" s="589"/>
      <c r="F30" s="193"/>
      <c r="G30" s="597" t="s">
        <v>285</v>
      </c>
      <c r="H30" s="510" t="s">
        <v>287</v>
      </c>
      <c r="I30" s="601"/>
      <c r="J30" s="1079" t="s">
        <v>505</v>
      </c>
      <c r="K30" s="1079" t="s">
        <v>505</v>
      </c>
    </row>
    <row r="31" spans="1:11" s="64" customFormat="1" ht="15.75">
      <c r="A31" s="28"/>
      <c r="B31" s="332" t="s">
        <v>9</v>
      </c>
      <c r="C31" s="333" t="s">
        <v>303</v>
      </c>
      <c r="D31" s="583"/>
      <c r="E31" s="590">
        <v>2018</v>
      </c>
      <c r="F31" s="509" t="s">
        <v>367</v>
      </c>
      <c r="G31" s="598">
        <v>2020</v>
      </c>
      <c r="H31" s="196" t="s">
        <v>373</v>
      </c>
      <c r="I31" s="602">
        <v>2021</v>
      </c>
      <c r="J31" s="515" t="s">
        <v>432</v>
      </c>
      <c r="K31" s="605">
        <v>2023</v>
      </c>
    </row>
    <row r="32" spans="1:11" s="64" customFormat="1" ht="12" thickBot="1">
      <c r="A32" s="32"/>
      <c r="B32" s="334" t="s">
        <v>305</v>
      </c>
      <c r="C32" s="4" t="s">
        <v>74</v>
      </c>
      <c r="D32" s="584" t="s">
        <v>5</v>
      </c>
      <c r="E32" s="591" t="s">
        <v>276</v>
      </c>
      <c r="F32" s="198" t="s">
        <v>276</v>
      </c>
      <c r="G32" s="599" t="s">
        <v>276</v>
      </c>
      <c r="H32" s="199" t="s">
        <v>276</v>
      </c>
      <c r="I32" s="603" t="s">
        <v>276</v>
      </c>
      <c r="J32" s="517" t="s">
        <v>276</v>
      </c>
      <c r="K32" s="606" t="s">
        <v>276</v>
      </c>
    </row>
    <row r="33" spans="1:11" s="64" customFormat="1" ht="12.75" thickBot="1" thickTop="1">
      <c r="A33" s="328">
        <v>1</v>
      </c>
      <c r="B33" s="213" t="s">
        <v>151</v>
      </c>
      <c r="C33" s="135"/>
      <c r="D33" s="585"/>
      <c r="E33" s="339">
        <f aca="true" t="shared" si="6" ref="E33:K37">E34</f>
        <v>0</v>
      </c>
      <c r="F33" s="339">
        <f t="shared" si="6"/>
        <v>4005.6</v>
      </c>
      <c r="G33" s="592">
        <f t="shared" si="6"/>
        <v>0</v>
      </c>
      <c r="H33" s="339">
        <f t="shared" si="6"/>
        <v>15360</v>
      </c>
      <c r="I33" s="339">
        <f t="shared" si="6"/>
        <v>0</v>
      </c>
      <c r="J33" s="339">
        <f t="shared" si="6"/>
        <v>0</v>
      </c>
      <c r="K33" s="339">
        <f t="shared" si="6"/>
        <v>0</v>
      </c>
    </row>
    <row r="34" spans="1:11" s="64" customFormat="1" ht="12" thickTop="1">
      <c r="A34" s="328">
        <v>2</v>
      </c>
      <c r="B34" s="347">
        <v>2</v>
      </c>
      <c r="C34" s="232" t="s">
        <v>85</v>
      </c>
      <c r="D34" s="586"/>
      <c r="E34" s="327">
        <f t="shared" si="6"/>
        <v>0</v>
      </c>
      <c r="F34" s="327">
        <f>F35+F37</f>
        <v>4005.6</v>
      </c>
      <c r="G34" s="593">
        <f t="shared" si="6"/>
        <v>0</v>
      </c>
      <c r="H34" s="327">
        <f>H35+H37</f>
        <v>15360</v>
      </c>
      <c r="I34" s="327">
        <f>I35+I37</f>
        <v>0</v>
      </c>
      <c r="J34" s="327">
        <f>J35+J37</f>
        <v>0</v>
      </c>
      <c r="K34" s="327">
        <f>K35+K37</f>
        <v>0</v>
      </c>
    </row>
    <row r="35" spans="1:11" ht="21" customHeight="1">
      <c r="A35" s="328">
        <v>3</v>
      </c>
      <c r="B35" s="348" t="s">
        <v>256</v>
      </c>
      <c r="C35" s="272" t="s">
        <v>119</v>
      </c>
      <c r="D35" s="587"/>
      <c r="E35" s="248">
        <f>E36</f>
        <v>0</v>
      </c>
      <c r="F35" s="248">
        <f t="shared" si="6"/>
        <v>0</v>
      </c>
      <c r="G35" s="248">
        <f t="shared" si="6"/>
        <v>0</v>
      </c>
      <c r="H35" s="248">
        <f t="shared" si="6"/>
        <v>15360</v>
      </c>
      <c r="I35" s="248">
        <f t="shared" si="6"/>
        <v>0</v>
      </c>
      <c r="J35" s="248">
        <f t="shared" si="6"/>
        <v>0</v>
      </c>
      <c r="K35" s="248">
        <f t="shared" si="6"/>
        <v>0</v>
      </c>
    </row>
    <row r="36" spans="1:11" s="64" customFormat="1" ht="9.75">
      <c r="A36" s="732" t="s">
        <v>7</v>
      </c>
      <c r="B36" s="157"/>
      <c r="C36" s="733">
        <v>700</v>
      </c>
      <c r="D36" s="734" t="s">
        <v>570</v>
      </c>
      <c r="E36" s="735">
        <v>0</v>
      </c>
      <c r="F36" s="735">
        <v>0</v>
      </c>
      <c r="G36" s="736">
        <v>0</v>
      </c>
      <c r="H36" s="735">
        <v>15360</v>
      </c>
      <c r="I36" s="737">
        <v>0</v>
      </c>
      <c r="J36" s="738">
        <v>0</v>
      </c>
      <c r="K36" s="739">
        <v>0</v>
      </c>
    </row>
    <row r="37" spans="1:11" ht="21" customHeight="1">
      <c r="A37" s="727">
        <v>5</v>
      </c>
      <c r="B37" s="728" t="s">
        <v>256</v>
      </c>
      <c r="C37" s="729" t="s">
        <v>85</v>
      </c>
      <c r="D37" s="730"/>
      <c r="E37" s="731">
        <f>E38</f>
        <v>0</v>
      </c>
      <c r="F37" s="731">
        <f t="shared" si="6"/>
        <v>4005.6</v>
      </c>
      <c r="G37" s="731">
        <f t="shared" si="6"/>
        <v>0</v>
      </c>
      <c r="H37" s="731">
        <f t="shared" si="6"/>
        <v>0</v>
      </c>
      <c r="I37" s="731">
        <f t="shared" si="6"/>
        <v>0</v>
      </c>
      <c r="J37" s="731">
        <f t="shared" si="6"/>
        <v>0</v>
      </c>
      <c r="K37" s="731">
        <f t="shared" si="6"/>
        <v>0</v>
      </c>
    </row>
    <row r="38" spans="1:11" s="64" customFormat="1" ht="10.5" thickBot="1">
      <c r="A38" s="611" t="s">
        <v>431</v>
      </c>
      <c r="B38" s="569"/>
      <c r="C38" s="657">
        <v>700</v>
      </c>
      <c r="D38" s="658" t="s">
        <v>440</v>
      </c>
      <c r="E38" s="595">
        <v>0</v>
      </c>
      <c r="F38" s="595">
        <v>4005.6</v>
      </c>
      <c r="G38" s="608">
        <v>0</v>
      </c>
      <c r="H38" s="595">
        <v>0</v>
      </c>
      <c r="I38" s="609">
        <v>0</v>
      </c>
      <c r="J38" s="607">
        <v>0</v>
      </c>
      <c r="K38" s="610">
        <v>0</v>
      </c>
    </row>
    <row r="39" spans="1:8" s="64" customFormat="1" ht="9.75">
      <c r="A39" s="48"/>
      <c r="B39" s="169"/>
      <c r="E39" s="175"/>
      <c r="F39" s="175"/>
      <c r="G39" s="175"/>
      <c r="H39" s="175"/>
    </row>
    <row r="40" spans="1:8" s="64" customFormat="1" ht="9.75">
      <c r="A40" s="48"/>
      <c r="B40" s="169"/>
      <c r="E40" s="175"/>
      <c r="F40" s="175"/>
      <c r="G40" s="175"/>
      <c r="H40" s="175"/>
    </row>
    <row r="41" spans="1:2" s="64" customFormat="1" ht="9.75">
      <c r="A41" s="48"/>
      <c r="B41" s="169"/>
    </row>
    <row r="42" spans="1:2" s="64" customFormat="1" ht="9.75">
      <c r="A42" s="48"/>
      <c r="B42" s="169"/>
    </row>
    <row r="43" spans="1:2" s="64" customFormat="1" ht="9.75">
      <c r="A43" s="48"/>
      <c r="B43" s="169"/>
    </row>
  </sheetData>
  <sheetProtection/>
  <mergeCells count="2">
    <mergeCell ref="A2:D2"/>
    <mergeCell ref="A29:D29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="130" zoomScaleNormal="130" zoomScalePageLayoutView="0" workbookViewId="0" topLeftCell="A1">
      <selection activeCell="H28" sqref="H28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7.140625" style="0" customWidth="1"/>
    <col min="4" max="4" width="26.0039062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7.421875" style="0" bestFit="1" customWidth="1"/>
    <col min="10" max="10" width="8.28125" style="0" bestFit="1" customWidth="1"/>
    <col min="11" max="11" width="7.421875" style="0" bestFit="1" customWidth="1"/>
  </cols>
  <sheetData>
    <row r="1" spans="1:2" ht="15" thickBot="1">
      <c r="A1" s="23"/>
      <c r="B1" s="204" t="s">
        <v>313</v>
      </c>
    </row>
    <row r="2" spans="1:11" ht="15.75" thickBot="1">
      <c r="A2" s="1246" t="s">
        <v>11</v>
      </c>
      <c r="B2" s="1247"/>
      <c r="C2" s="1247"/>
      <c r="D2" s="1247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</row>
    <row r="3" spans="1:11" ht="12.75">
      <c r="A3" s="124"/>
      <c r="B3" s="1251"/>
      <c r="C3" s="1252"/>
      <c r="D3" s="1252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</row>
    <row r="4" spans="1:11" ht="15.75">
      <c r="A4" s="128"/>
      <c r="B4" s="51" t="s">
        <v>310</v>
      </c>
      <c r="C4" s="52" t="s">
        <v>303</v>
      </c>
      <c r="D4" s="356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</row>
    <row r="5" spans="1:11" ht="13.5" thickBot="1">
      <c r="A5" s="148"/>
      <c r="B5" s="53" t="s">
        <v>305</v>
      </c>
      <c r="C5" s="54" t="s">
        <v>74</v>
      </c>
      <c r="D5" s="350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</row>
    <row r="6" spans="1:11" ht="14.25" thickBot="1" thickTop="1">
      <c r="A6" s="133">
        <v>1</v>
      </c>
      <c r="B6" s="213" t="s">
        <v>122</v>
      </c>
      <c r="C6" s="135"/>
      <c r="D6" s="136"/>
      <c r="E6" s="357">
        <f aca="true" t="shared" si="0" ref="E6:K7">E7</f>
        <v>836.33</v>
      </c>
      <c r="F6" s="357">
        <f t="shared" si="0"/>
        <v>2313.6400000000003</v>
      </c>
      <c r="G6" s="357">
        <f t="shared" si="0"/>
        <v>3078.15</v>
      </c>
      <c r="H6" s="357">
        <f t="shared" si="0"/>
        <v>3082.47</v>
      </c>
      <c r="I6" s="357">
        <f t="shared" si="0"/>
        <v>3082.47</v>
      </c>
      <c r="J6" s="357">
        <f t="shared" si="0"/>
        <v>3082.47</v>
      </c>
      <c r="K6" s="357">
        <f t="shared" si="0"/>
        <v>3082.47</v>
      </c>
    </row>
    <row r="7" spans="1:11" ht="13.5" thickTop="1">
      <c r="A7" s="93">
        <v>2</v>
      </c>
      <c r="B7" s="137">
        <v>1</v>
      </c>
      <c r="C7" s="291" t="s">
        <v>315</v>
      </c>
      <c r="D7" s="138"/>
      <c r="E7" s="358">
        <f t="shared" si="0"/>
        <v>836.33</v>
      </c>
      <c r="F7" s="358">
        <f t="shared" si="0"/>
        <v>2313.6400000000003</v>
      </c>
      <c r="G7" s="358">
        <f t="shared" si="0"/>
        <v>3078.15</v>
      </c>
      <c r="H7" s="358">
        <f t="shared" si="0"/>
        <v>3082.47</v>
      </c>
      <c r="I7" s="358">
        <f t="shared" si="0"/>
        <v>3082.47</v>
      </c>
      <c r="J7" s="358">
        <f t="shared" si="0"/>
        <v>3082.47</v>
      </c>
      <c r="K7" s="358">
        <f t="shared" si="0"/>
        <v>3082.47</v>
      </c>
    </row>
    <row r="8" spans="1:11" ht="12.75">
      <c r="A8" s="93">
        <v>3</v>
      </c>
      <c r="B8" s="59" t="s">
        <v>257</v>
      </c>
      <c r="C8" s="363" t="s">
        <v>87</v>
      </c>
      <c r="D8" s="155"/>
      <c r="E8" s="359">
        <f>E9+E10+E11+E12+E13</f>
        <v>836.33</v>
      </c>
      <c r="F8" s="359">
        <f aca="true" t="shared" si="1" ref="F8:K8">F9+F10+F11+F12+F13</f>
        <v>2313.6400000000003</v>
      </c>
      <c r="G8" s="359">
        <f t="shared" si="1"/>
        <v>3078.15</v>
      </c>
      <c r="H8" s="359">
        <f t="shared" si="1"/>
        <v>3082.47</v>
      </c>
      <c r="I8" s="359">
        <f t="shared" si="1"/>
        <v>3082.47</v>
      </c>
      <c r="J8" s="359">
        <f t="shared" si="1"/>
        <v>3082.47</v>
      </c>
      <c r="K8" s="359">
        <f t="shared" si="1"/>
        <v>3082.47</v>
      </c>
    </row>
    <row r="9" spans="1:11" ht="12.75">
      <c r="A9" s="93">
        <v>4</v>
      </c>
      <c r="B9" s="70"/>
      <c r="C9" s="146" t="s">
        <v>289</v>
      </c>
      <c r="D9" s="210" t="s">
        <v>208</v>
      </c>
      <c r="E9" s="360">
        <f>836.33-E10</f>
        <v>761.2900000000001</v>
      </c>
      <c r="F9" s="360">
        <v>1735.49</v>
      </c>
      <c r="G9" s="360">
        <v>2000</v>
      </c>
      <c r="H9" s="360">
        <v>2000</v>
      </c>
      <c r="I9" s="360">
        <v>2000</v>
      </c>
      <c r="J9" s="360">
        <v>2000</v>
      </c>
      <c r="K9" s="360">
        <v>2000</v>
      </c>
    </row>
    <row r="10" spans="1:11" ht="12.75">
      <c r="A10" s="151">
        <v>5</v>
      </c>
      <c r="B10" s="70"/>
      <c r="C10" s="618" t="s">
        <v>289</v>
      </c>
      <c r="D10" s="659" t="s">
        <v>414</v>
      </c>
      <c r="E10" s="361">
        <v>75.04</v>
      </c>
      <c r="F10" s="361">
        <v>78.15</v>
      </c>
      <c r="G10" s="361">
        <v>78.15</v>
      </c>
      <c r="H10" s="361">
        <v>82.47</v>
      </c>
      <c r="I10" s="361">
        <v>82.47</v>
      </c>
      <c r="J10" s="361">
        <v>82.47</v>
      </c>
      <c r="K10" s="361">
        <v>82.47</v>
      </c>
    </row>
    <row r="11" spans="1:11" ht="12.75">
      <c r="A11" s="151">
        <v>6</v>
      </c>
      <c r="B11" s="70"/>
      <c r="C11" s="168" t="s">
        <v>289</v>
      </c>
      <c r="D11" s="659" t="s">
        <v>314</v>
      </c>
      <c r="E11" s="361">
        <v>0</v>
      </c>
      <c r="F11" s="361">
        <v>0</v>
      </c>
      <c r="G11" s="361">
        <v>0</v>
      </c>
      <c r="H11" s="361">
        <v>0</v>
      </c>
      <c r="I11" s="361">
        <v>0</v>
      </c>
      <c r="J11" s="361">
        <v>0</v>
      </c>
      <c r="K11" s="361">
        <v>0</v>
      </c>
    </row>
    <row r="12" spans="1:11" ht="12.75">
      <c r="A12" s="151">
        <v>7</v>
      </c>
      <c r="B12" s="117"/>
      <c r="C12" s="168" t="s">
        <v>289</v>
      </c>
      <c r="D12" s="659" t="s">
        <v>207</v>
      </c>
      <c r="E12" s="361">
        <v>0</v>
      </c>
      <c r="F12" s="361">
        <v>0</v>
      </c>
      <c r="G12" s="361">
        <v>500</v>
      </c>
      <c r="H12" s="361">
        <v>500</v>
      </c>
      <c r="I12" s="361">
        <v>500</v>
      </c>
      <c r="J12" s="361">
        <v>500</v>
      </c>
      <c r="K12" s="361">
        <v>500</v>
      </c>
    </row>
    <row r="13" spans="1:11" ht="13.5" thickBot="1">
      <c r="A13" s="147">
        <v>8</v>
      </c>
      <c r="B13" s="149"/>
      <c r="C13" s="355" t="s">
        <v>289</v>
      </c>
      <c r="D13" s="660" t="s">
        <v>209</v>
      </c>
      <c r="E13" s="362">
        <v>0</v>
      </c>
      <c r="F13" s="362">
        <v>500</v>
      </c>
      <c r="G13" s="362">
        <v>500</v>
      </c>
      <c r="H13" s="362">
        <v>500</v>
      </c>
      <c r="I13" s="362">
        <v>500</v>
      </c>
      <c r="J13" s="362">
        <v>500</v>
      </c>
      <c r="K13" s="362">
        <v>500</v>
      </c>
    </row>
    <row r="15" spans="2:4" s="64" customFormat="1" ht="9.75">
      <c r="B15" s="48"/>
      <c r="D15" s="177"/>
    </row>
    <row r="16" s="64" customFormat="1" ht="9.75">
      <c r="D16" s="169"/>
    </row>
    <row r="17" spans="1:2" s="64" customFormat="1" ht="9.75">
      <c r="A17" s="176"/>
      <c r="B17" s="169"/>
    </row>
    <row r="18" spans="1:2" s="64" customFormat="1" ht="9.75">
      <c r="A18" s="176"/>
      <c r="B18" s="169"/>
    </row>
    <row r="19" spans="1:2" s="64" customFormat="1" ht="9.75">
      <c r="A19" s="176"/>
      <c r="B19" s="169"/>
    </row>
    <row r="20" spans="1:2" s="64" customFormat="1" ht="9.75">
      <c r="A20" s="176"/>
      <c r="B20" s="169"/>
    </row>
    <row r="21" s="64" customFormat="1" ht="9.75"/>
  </sheetData>
  <sheetProtection/>
  <mergeCells count="2">
    <mergeCell ref="A2:D2"/>
    <mergeCell ref="B3:D3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3"/>
  <sheetViews>
    <sheetView zoomScale="130" zoomScaleNormal="130" zoomScalePageLayoutView="0" workbookViewId="0" topLeftCell="A1">
      <pane ySplit="5" topLeftCell="A54" activePane="bottomLeft" state="frozen"/>
      <selection pane="topLeft" activeCell="A1" sqref="A1"/>
      <selection pane="bottomLeft" activeCell="H73" sqref="H73"/>
    </sheetView>
  </sheetViews>
  <sheetFormatPr defaultColWidth="9.140625" defaultRowHeight="12.75"/>
  <cols>
    <col min="1" max="1" width="2.57421875" style="0" customWidth="1"/>
    <col min="2" max="3" width="5.28125" style="0" customWidth="1"/>
    <col min="4" max="4" width="25.7109375" style="0" customWidth="1"/>
    <col min="5" max="5" width="8.8515625" style="0" bestFit="1" customWidth="1"/>
    <col min="6" max="6" width="10.140625" style="0" bestFit="1" customWidth="1"/>
    <col min="7" max="7" width="8.8515625" style="0" bestFit="1" customWidth="1"/>
    <col min="8" max="8" width="10.140625" style="0" bestFit="1" customWidth="1"/>
    <col min="9" max="9" width="8.8515625" style="0" customWidth="1"/>
    <col min="10" max="10" width="9.57421875" style="0" customWidth="1"/>
    <col min="11" max="11" width="9.421875" style="0" bestFit="1" customWidth="1"/>
    <col min="12" max="14" width="9.421875" style="49" customWidth="1"/>
    <col min="16" max="16" width="10.140625" style="0" bestFit="1" customWidth="1"/>
    <col min="17" max="17" width="9.140625" style="992" customWidth="1"/>
    <col min="18" max="18" width="10.140625" style="992" bestFit="1" customWidth="1"/>
  </cols>
  <sheetData>
    <row r="1" spans="1:2" ht="15" thickBot="1">
      <c r="A1" s="23"/>
      <c r="B1" s="204" t="s">
        <v>317</v>
      </c>
    </row>
    <row r="2" spans="1:17" ht="15.75" thickBot="1">
      <c r="A2" s="1253" t="s">
        <v>11</v>
      </c>
      <c r="B2" s="1254"/>
      <c r="C2" s="1254"/>
      <c r="D2" s="1254"/>
      <c r="E2" s="200" t="s">
        <v>283</v>
      </c>
      <c r="F2" s="508" t="s">
        <v>368</v>
      </c>
      <c r="G2" s="121" t="s">
        <v>369</v>
      </c>
      <c r="H2" s="121" t="s">
        <v>286</v>
      </c>
      <c r="I2" s="535" t="s">
        <v>13</v>
      </c>
      <c r="J2" s="513" t="s">
        <v>13</v>
      </c>
      <c r="K2" s="512" t="s">
        <v>13</v>
      </c>
      <c r="L2" s="1073"/>
      <c r="M2" s="1073"/>
      <c r="N2" s="1073"/>
      <c r="Q2" s="633"/>
    </row>
    <row r="3" spans="1:17" ht="12.75">
      <c r="A3" s="372"/>
      <c r="B3" s="373"/>
      <c r="C3" s="374"/>
      <c r="D3" s="520"/>
      <c r="E3" s="193"/>
      <c r="F3" s="193"/>
      <c r="G3" s="510" t="s">
        <v>285</v>
      </c>
      <c r="H3" s="510" t="s">
        <v>287</v>
      </c>
      <c r="I3" s="536"/>
      <c r="J3" s="1079" t="s">
        <v>505</v>
      </c>
      <c r="K3" s="1079" t="s">
        <v>505</v>
      </c>
      <c r="L3" s="1074"/>
      <c r="M3" s="1074"/>
      <c r="N3" s="1074"/>
      <c r="Q3" s="633"/>
    </row>
    <row r="4" spans="1:19" ht="15.75">
      <c r="A4" s="375"/>
      <c r="B4" s="376" t="s">
        <v>310</v>
      </c>
      <c r="C4" s="377" t="s">
        <v>312</v>
      </c>
      <c r="D4" s="415"/>
      <c r="E4" s="195">
        <v>2018</v>
      </c>
      <c r="F4" s="509" t="s">
        <v>367</v>
      </c>
      <c r="G4" s="511">
        <v>2020</v>
      </c>
      <c r="H4" s="196" t="s">
        <v>373</v>
      </c>
      <c r="I4" s="537">
        <v>2021</v>
      </c>
      <c r="J4" s="515" t="s">
        <v>432</v>
      </c>
      <c r="K4" s="514">
        <v>2023</v>
      </c>
      <c r="L4" s="1075"/>
      <c r="M4" s="1075"/>
      <c r="N4" s="1075"/>
      <c r="Q4" s="633"/>
      <c r="S4" s="1195"/>
    </row>
    <row r="5" spans="1:19" ht="13.5" thickBot="1">
      <c r="A5" s="416"/>
      <c r="B5" s="378" t="s">
        <v>316</v>
      </c>
      <c r="C5" s="379" t="s">
        <v>74</v>
      </c>
      <c r="D5" s="396" t="s">
        <v>5</v>
      </c>
      <c r="E5" s="198" t="s">
        <v>276</v>
      </c>
      <c r="F5" s="198" t="s">
        <v>276</v>
      </c>
      <c r="G5" s="199" t="s">
        <v>276</v>
      </c>
      <c r="H5" s="199" t="s">
        <v>276</v>
      </c>
      <c r="I5" s="538" t="s">
        <v>276</v>
      </c>
      <c r="J5" s="517" t="s">
        <v>276</v>
      </c>
      <c r="K5" s="516" t="s">
        <v>276</v>
      </c>
      <c r="L5" s="1076"/>
      <c r="M5" s="1076"/>
      <c r="N5" s="1076"/>
      <c r="Q5" s="633"/>
      <c r="S5" s="1195"/>
    </row>
    <row r="6" spans="1:14" ht="14.25" thickBot="1" thickTop="1">
      <c r="A6" s="341">
        <v>1</v>
      </c>
      <c r="B6" s="134" t="s">
        <v>123</v>
      </c>
      <c r="C6" s="135"/>
      <c r="D6" s="380"/>
      <c r="E6" s="364">
        <f>E7+E21+E50</f>
        <v>767864.54</v>
      </c>
      <c r="F6" s="364">
        <f aca="true" t="shared" si="0" ref="F6:K6">F7+F21+F50</f>
        <v>849988.6400000001</v>
      </c>
      <c r="G6" s="364">
        <f t="shared" si="0"/>
        <v>943990.42</v>
      </c>
      <c r="H6" s="364">
        <f t="shared" si="0"/>
        <v>1004110.96</v>
      </c>
      <c r="I6" s="364">
        <f t="shared" si="0"/>
        <v>1000756.9989999998</v>
      </c>
      <c r="J6" s="364">
        <f t="shared" si="0"/>
        <v>980428.9929999999</v>
      </c>
      <c r="K6" s="364">
        <f t="shared" si="0"/>
        <v>994904.9909999999</v>
      </c>
      <c r="L6" s="1077"/>
      <c r="M6" s="1077"/>
      <c r="N6" s="1077"/>
    </row>
    <row r="7" spans="1:14" ht="14.25" thickBot="1" thickTop="1">
      <c r="A7" s="342">
        <v>2</v>
      </c>
      <c r="B7" s="683">
        <v>1</v>
      </c>
      <c r="C7" s="684" t="s">
        <v>124</v>
      </c>
      <c r="D7" s="685"/>
      <c r="E7" s="365">
        <f aca="true" t="shared" si="1" ref="E7:K7">E8</f>
        <v>246849.51</v>
      </c>
      <c r="F7" s="365">
        <f t="shared" si="1"/>
        <v>265867.82000000007</v>
      </c>
      <c r="G7" s="365">
        <f t="shared" si="1"/>
        <v>319554.52</v>
      </c>
      <c r="H7" s="365">
        <f t="shared" si="1"/>
        <v>317944.23000000004</v>
      </c>
      <c r="I7" s="365">
        <f t="shared" si="1"/>
        <v>322752.004</v>
      </c>
      <c r="J7" s="365">
        <f t="shared" si="1"/>
        <v>339423.998</v>
      </c>
      <c r="K7" s="365">
        <f t="shared" si="1"/>
        <v>353899.996</v>
      </c>
      <c r="L7" s="1078"/>
      <c r="M7" s="1078"/>
      <c r="N7" s="1078"/>
    </row>
    <row r="8" spans="1:14" ht="13.5" thickBot="1">
      <c r="A8" s="661">
        <v>3</v>
      </c>
      <c r="B8" s="664" t="s">
        <v>259</v>
      </c>
      <c r="C8" s="686" t="s">
        <v>98</v>
      </c>
      <c r="D8" s="687"/>
      <c r="E8" s="688">
        <f>E9+E10+E11+E13+E14+E15</f>
        <v>246849.51</v>
      </c>
      <c r="F8" s="688">
        <f>SUM(F9:F19)</f>
        <v>265867.82000000007</v>
      </c>
      <c r="G8" s="688">
        <f>SUM(G9:G19)</f>
        <v>319554.52</v>
      </c>
      <c r="H8" s="688">
        <f>SUM(H9:H20)</f>
        <v>317944.23000000004</v>
      </c>
      <c r="I8" s="688">
        <f>SUM(I9:I20)</f>
        <v>322752.004</v>
      </c>
      <c r="J8" s="688">
        <f>SUM(J9:J20)</f>
        <v>339423.998</v>
      </c>
      <c r="K8" s="688">
        <f>SUM(K9:K20)</f>
        <v>353899.996</v>
      </c>
      <c r="L8" s="1077"/>
      <c r="M8" s="1077"/>
      <c r="N8" s="1077"/>
    </row>
    <row r="9" spans="1:18" ht="12.75">
      <c r="A9" s="341">
        <v>4</v>
      </c>
      <c r="B9" s="398"/>
      <c r="C9" s="401" t="s">
        <v>318</v>
      </c>
      <c r="D9" s="615" t="s">
        <v>487</v>
      </c>
      <c r="E9" s="366">
        <v>210011</v>
      </c>
      <c r="F9" s="366">
        <v>226672.14</v>
      </c>
      <c r="G9" s="366">
        <v>185635</v>
      </c>
      <c r="H9" s="366">
        <v>161051.93</v>
      </c>
      <c r="I9" s="366">
        <v>186262</v>
      </c>
      <c r="J9" s="366">
        <v>195574</v>
      </c>
      <c r="K9" s="366">
        <v>205353</v>
      </c>
      <c r="L9" s="491"/>
      <c r="M9" s="491"/>
      <c r="N9" s="491"/>
      <c r="R9" s="1196"/>
    </row>
    <row r="10" spans="1:14" ht="12.75">
      <c r="A10" s="342">
        <v>5</v>
      </c>
      <c r="B10" s="399" t="s">
        <v>226</v>
      </c>
      <c r="C10" s="346" t="s">
        <v>319</v>
      </c>
      <c r="D10" s="384" t="s">
        <v>125</v>
      </c>
      <c r="E10" s="367">
        <v>0</v>
      </c>
      <c r="F10" s="367">
        <v>0</v>
      </c>
      <c r="G10" s="367">
        <v>65343.52</v>
      </c>
      <c r="H10" s="367">
        <v>65343.52</v>
      </c>
      <c r="I10" s="367">
        <f>(I9*0.352)-1.22</f>
        <v>65563.004</v>
      </c>
      <c r="J10" s="367">
        <f>(J9*0.352)-2.05</f>
        <v>68839.99799999999</v>
      </c>
      <c r="K10" s="367">
        <f>(K9*0.352)-2.26</f>
        <v>72281.996</v>
      </c>
      <c r="L10" s="491"/>
      <c r="M10" s="491"/>
      <c r="N10" s="491"/>
    </row>
    <row r="11" spans="1:22" ht="20.25" thickBot="1">
      <c r="A11" s="342">
        <v>6</v>
      </c>
      <c r="B11" s="400" t="s">
        <v>227</v>
      </c>
      <c r="C11" s="353" t="s">
        <v>289</v>
      </c>
      <c r="D11" s="385" t="s">
        <v>220</v>
      </c>
      <c r="E11" s="368">
        <v>0</v>
      </c>
      <c r="F11" s="368">
        <v>0</v>
      </c>
      <c r="G11" s="368">
        <v>0</v>
      </c>
      <c r="H11" s="368">
        <v>0</v>
      </c>
      <c r="I11" s="368">
        <v>2506</v>
      </c>
      <c r="J11" s="368">
        <v>6589</v>
      </c>
      <c r="K11" s="368">
        <v>7844</v>
      </c>
      <c r="L11" s="491"/>
      <c r="M11" s="491"/>
      <c r="N11" s="491"/>
      <c r="R11" s="1010"/>
      <c r="S11" s="1071"/>
      <c r="T11" s="1071"/>
      <c r="U11" s="1071"/>
      <c r="V11" s="1071"/>
    </row>
    <row r="12" spans="1:22" ht="12.75">
      <c r="A12" s="341">
        <v>7</v>
      </c>
      <c r="B12" s="1129"/>
      <c r="C12" s="1130" t="s">
        <v>318</v>
      </c>
      <c r="D12" s="1131" t="s">
        <v>583</v>
      </c>
      <c r="E12" s="366">
        <v>0</v>
      </c>
      <c r="F12" s="366">
        <v>0</v>
      </c>
      <c r="G12" s="366">
        <v>0</v>
      </c>
      <c r="H12" s="366">
        <v>24583.07</v>
      </c>
      <c r="I12" s="366">
        <v>0</v>
      </c>
      <c r="J12" s="366">
        <v>0</v>
      </c>
      <c r="K12" s="366">
        <v>0</v>
      </c>
      <c r="L12" s="491"/>
      <c r="M12" s="491"/>
      <c r="N12" s="491"/>
      <c r="R12" s="1010"/>
      <c r="S12" s="1071"/>
      <c r="T12" s="1071"/>
      <c r="U12" s="1071"/>
      <c r="V12" s="1071"/>
    </row>
    <row r="13" spans="1:14" ht="19.5">
      <c r="A13" s="341">
        <v>8</v>
      </c>
      <c r="B13" s="402"/>
      <c r="C13" s="1018" t="s">
        <v>479</v>
      </c>
      <c r="D13" s="1014" t="s">
        <v>486</v>
      </c>
      <c r="E13" s="369">
        <v>4860</v>
      </c>
      <c r="F13" s="369">
        <v>5489</v>
      </c>
      <c r="G13" s="369">
        <v>5489</v>
      </c>
      <c r="H13" s="369">
        <v>4928</v>
      </c>
      <c r="I13" s="369">
        <f>'BP'!K78</f>
        <v>4663</v>
      </c>
      <c r="J13" s="369">
        <f>'BP'!L78</f>
        <v>4663</v>
      </c>
      <c r="K13" s="369">
        <f>'BP'!M78</f>
        <v>4663</v>
      </c>
      <c r="L13" s="491"/>
      <c r="M13" s="491"/>
      <c r="N13" s="491"/>
    </row>
    <row r="14" spans="1:22" ht="19.5">
      <c r="A14" s="342">
        <v>9</v>
      </c>
      <c r="B14" s="386"/>
      <c r="C14" s="744" t="s">
        <v>289</v>
      </c>
      <c r="D14" s="1014" t="s">
        <v>520</v>
      </c>
      <c r="E14" s="367">
        <v>12736.42</v>
      </c>
      <c r="F14" s="367">
        <v>10760</v>
      </c>
      <c r="G14" s="367">
        <v>19140</v>
      </c>
      <c r="H14" s="367">
        <v>19140</v>
      </c>
      <c r="I14" s="367">
        <f>'BP'!K104</f>
        <v>19800</v>
      </c>
      <c r="J14" s="367">
        <f>'BP'!L104</f>
        <v>19800</v>
      </c>
      <c r="K14" s="367">
        <f>'BP'!M104</f>
        <v>19800</v>
      </c>
      <c r="L14" s="491"/>
      <c r="M14" s="491"/>
      <c r="N14" s="491"/>
      <c r="R14" s="1085"/>
      <c r="S14" s="1072"/>
      <c r="T14" s="1072"/>
      <c r="U14" s="1072"/>
      <c r="V14" s="1072"/>
    </row>
    <row r="15" spans="1:22" ht="19.5">
      <c r="A15" s="740">
        <v>10</v>
      </c>
      <c r="B15" s="677"/>
      <c r="C15" s="741" t="s">
        <v>289</v>
      </c>
      <c r="D15" s="1019" t="s">
        <v>453</v>
      </c>
      <c r="E15" s="668">
        <v>19242.09</v>
      </c>
      <c r="F15" s="668">
        <v>2119.54</v>
      </c>
      <c r="G15" s="668">
        <v>0</v>
      </c>
      <c r="H15" s="668">
        <v>90.76</v>
      </c>
      <c r="I15" s="668">
        <v>0</v>
      </c>
      <c r="J15" s="668">
        <v>0</v>
      </c>
      <c r="K15" s="668">
        <v>0</v>
      </c>
      <c r="L15" s="491"/>
      <c r="M15" s="491"/>
      <c r="N15" s="491"/>
      <c r="R15" s="1010"/>
      <c r="S15" s="1071"/>
      <c r="T15" s="1071"/>
      <c r="U15" s="1071"/>
      <c r="V15" s="1071"/>
    </row>
    <row r="16" spans="1:14" ht="19.5">
      <c r="A16" s="342">
        <v>11</v>
      </c>
      <c r="B16" s="345"/>
      <c r="C16" s="744" t="s">
        <v>289</v>
      </c>
      <c r="D16" s="1020" t="s">
        <v>532</v>
      </c>
      <c r="E16" s="367">
        <v>0</v>
      </c>
      <c r="F16" s="367">
        <v>12159.11</v>
      </c>
      <c r="G16" s="367">
        <v>22094</v>
      </c>
      <c r="H16" s="367">
        <v>22094</v>
      </c>
      <c r="I16" s="367">
        <f>'BP'!K101</f>
        <v>21613</v>
      </c>
      <c r="J16" s="367">
        <f>'BP'!L101</f>
        <v>29750</v>
      </c>
      <c r="K16" s="367">
        <f>'BP'!M101</f>
        <v>29750</v>
      </c>
      <c r="L16" s="491"/>
      <c r="M16" s="491"/>
      <c r="N16" s="491"/>
    </row>
    <row r="17" spans="1:14" ht="29.25">
      <c r="A17" s="742">
        <v>12</v>
      </c>
      <c r="B17" s="962"/>
      <c r="C17" s="744" t="s">
        <v>289</v>
      </c>
      <c r="D17" s="1020" t="s">
        <v>571</v>
      </c>
      <c r="E17" s="367">
        <v>0</v>
      </c>
      <c r="F17" s="367">
        <v>0</v>
      </c>
      <c r="G17" s="367">
        <v>14197</v>
      </c>
      <c r="H17" s="367">
        <v>14197</v>
      </c>
      <c r="I17" s="367">
        <f>'BP'!K102</f>
        <v>14208</v>
      </c>
      <c r="J17" s="367">
        <f>'BP'!L102</f>
        <v>14208</v>
      </c>
      <c r="K17" s="367">
        <f>'BP'!M102</f>
        <v>14208</v>
      </c>
      <c r="L17" s="491"/>
      <c r="M17" s="491"/>
      <c r="N17" s="491"/>
    </row>
    <row r="18" spans="1:14" ht="19.5">
      <c r="A18" s="742">
        <v>13</v>
      </c>
      <c r="B18" s="565"/>
      <c r="C18" s="745" t="s">
        <v>289</v>
      </c>
      <c r="D18" s="1019" t="s">
        <v>452</v>
      </c>
      <c r="E18" s="571">
        <v>0</v>
      </c>
      <c r="F18" s="571">
        <v>8173.2</v>
      </c>
      <c r="G18" s="571">
        <v>7656</v>
      </c>
      <c r="H18" s="571">
        <v>5846.4</v>
      </c>
      <c r="I18" s="571">
        <f>'BP'!K82</f>
        <v>8137</v>
      </c>
      <c r="J18" s="571">
        <f>'BP'!L82</f>
        <v>0</v>
      </c>
      <c r="K18" s="571">
        <f>'BP'!M82</f>
        <v>0</v>
      </c>
      <c r="L18" s="491"/>
      <c r="M18" s="491"/>
      <c r="N18" s="491"/>
    </row>
    <row r="19" spans="1:18" ht="19.5">
      <c r="A19" s="342">
        <v>14</v>
      </c>
      <c r="B19" s="962"/>
      <c r="C19" s="744" t="s">
        <v>290</v>
      </c>
      <c r="D19" s="1020" t="s">
        <v>504</v>
      </c>
      <c r="E19" s="367">
        <v>0</v>
      </c>
      <c r="F19" s="367">
        <v>494.83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491"/>
      <c r="M19" s="491"/>
      <c r="N19" s="491"/>
      <c r="Q19" s="1191"/>
      <c r="R19" s="991"/>
    </row>
    <row r="20" spans="1:18" ht="13.5" thickBot="1">
      <c r="A20" s="342">
        <v>15</v>
      </c>
      <c r="B20" s="565"/>
      <c r="C20" s="743"/>
      <c r="D20" s="1019" t="s">
        <v>573</v>
      </c>
      <c r="E20" s="571">
        <v>0</v>
      </c>
      <c r="F20" s="571">
        <v>0</v>
      </c>
      <c r="G20" s="571">
        <v>0</v>
      </c>
      <c r="H20" s="571">
        <v>669.55</v>
      </c>
      <c r="I20" s="571">
        <v>0</v>
      </c>
      <c r="J20" s="571">
        <v>0</v>
      </c>
      <c r="K20" s="571">
        <v>0</v>
      </c>
      <c r="L20" s="491"/>
      <c r="M20" s="491"/>
      <c r="N20" s="491"/>
      <c r="Q20" s="1191"/>
      <c r="R20" s="991"/>
    </row>
    <row r="21" spans="1:20" ht="13.5" thickBot="1">
      <c r="A21" s="661">
        <v>16</v>
      </c>
      <c r="B21" s="679">
        <v>2</v>
      </c>
      <c r="C21" s="680" t="s">
        <v>100</v>
      </c>
      <c r="D21" s="681"/>
      <c r="E21" s="682">
        <f>E22+E33+E39+1994.94</f>
        <v>520610.0300000001</v>
      </c>
      <c r="F21" s="682">
        <f>F22+F33+F39</f>
        <v>584120.8200000001</v>
      </c>
      <c r="G21" s="682">
        <f>G22+G33+G39</f>
        <v>624435.9</v>
      </c>
      <c r="H21" s="682">
        <f>H22+H33+H39</f>
        <v>686166.73</v>
      </c>
      <c r="I21" s="682">
        <f>I22+I33+I39-0.01</f>
        <v>678004.9949999999</v>
      </c>
      <c r="J21" s="682">
        <f>J22+J33+J39-0.01</f>
        <v>641004.9949999999</v>
      </c>
      <c r="K21" s="682">
        <f>K22+K33+K39-0.01</f>
        <v>641004.9949999999</v>
      </c>
      <c r="L21" s="1078"/>
      <c r="M21" s="1078"/>
      <c r="N21" s="1078"/>
      <c r="P21" s="551"/>
      <c r="T21" s="1069"/>
    </row>
    <row r="22" spans="1:21" ht="13.5" thickBot="1">
      <c r="A22" s="341">
        <v>17</v>
      </c>
      <c r="B22" s="383" t="s">
        <v>258</v>
      </c>
      <c r="C22" s="391" t="s">
        <v>99</v>
      </c>
      <c r="D22" s="391"/>
      <c r="E22" s="678">
        <f>SUM(E23:E31)</f>
        <v>381550.41000000003</v>
      </c>
      <c r="F22" s="678">
        <f aca="true" t="shared" si="2" ref="F22:K22">SUM(F23:F31)</f>
        <v>423349.67000000004</v>
      </c>
      <c r="G22" s="678">
        <f t="shared" si="2"/>
        <v>429483</v>
      </c>
      <c r="H22" s="678">
        <f>SUM(H23:H32)</f>
        <v>516808.56</v>
      </c>
      <c r="I22" s="678">
        <f t="shared" si="2"/>
        <v>486775.9985</v>
      </c>
      <c r="J22" s="678">
        <f t="shared" si="2"/>
        <v>486775.9985</v>
      </c>
      <c r="K22" s="678">
        <f t="shared" si="2"/>
        <v>486775.9985</v>
      </c>
      <c r="L22" s="1077"/>
      <c r="M22" s="1077"/>
      <c r="N22" s="1077"/>
      <c r="T22" s="8"/>
      <c r="U22" s="8"/>
    </row>
    <row r="23" spans="1:21" ht="12.75">
      <c r="A23" s="342">
        <v>18</v>
      </c>
      <c r="B23" s="398"/>
      <c r="C23" s="401" t="s">
        <v>318</v>
      </c>
      <c r="D23" s="615" t="s">
        <v>488</v>
      </c>
      <c r="E23" s="371">
        <v>367105.45</v>
      </c>
      <c r="F23" s="371">
        <v>409420.44</v>
      </c>
      <c r="G23" s="371">
        <v>269650.89</v>
      </c>
      <c r="H23" s="371">
        <f>314523-2365</f>
        <v>312158</v>
      </c>
      <c r="I23" s="371">
        <v>310403</v>
      </c>
      <c r="J23" s="371">
        <v>310403</v>
      </c>
      <c r="K23" s="371">
        <v>310403</v>
      </c>
      <c r="L23" s="491"/>
      <c r="M23" s="491"/>
      <c r="N23" s="491"/>
      <c r="P23" s="551"/>
      <c r="T23" s="8"/>
      <c r="U23" s="8"/>
    </row>
    <row r="24" spans="1:21" ht="12.75">
      <c r="A24" s="341">
        <v>19</v>
      </c>
      <c r="B24" s="399"/>
      <c r="C24" s="346" t="s">
        <v>319</v>
      </c>
      <c r="D24" s="384" t="s">
        <v>125</v>
      </c>
      <c r="E24" s="367">
        <v>0</v>
      </c>
      <c r="F24" s="367">
        <v>0</v>
      </c>
      <c r="G24" s="367">
        <v>94917.11</v>
      </c>
      <c r="H24" s="367">
        <f>110712-832</f>
        <v>109880</v>
      </c>
      <c r="I24" s="367">
        <f>(I23*0.3495)+0.15</f>
        <v>108485.99849999999</v>
      </c>
      <c r="J24" s="367">
        <f>(J23*0.3495)+0.15</f>
        <v>108485.99849999999</v>
      </c>
      <c r="K24" s="367">
        <f>(K23*0.3495)+0.15</f>
        <v>108485.99849999999</v>
      </c>
      <c r="L24" s="491"/>
      <c r="M24" s="491"/>
      <c r="N24" s="491"/>
      <c r="Q24" s="1192"/>
      <c r="T24" s="8"/>
      <c r="U24" s="8"/>
    </row>
    <row r="25" spans="1:21" ht="27" customHeight="1" thickBot="1">
      <c r="A25" s="342">
        <v>20</v>
      </c>
      <c r="B25" s="500" t="s">
        <v>228</v>
      </c>
      <c r="C25" s="353" t="s">
        <v>289</v>
      </c>
      <c r="D25" s="385" t="s">
        <v>363</v>
      </c>
      <c r="E25" s="368">
        <v>0</v>
      </c>
      <c r="F25" s="368">
        <v>0</v>
      </c>
      <c r="G25" s="368">
        <v>57496</v>
      </c>
      <c r="H25" s="368">
        <f>59938+2000</f>
        <v>61938</v>
      </c>
      <c r="I25" s="368">
        <v>60087</v>
      </c>
      <c r="J25" s="368">
        <v>60087</v>
      </c>
      <c r="K25" s="368">
        <v>60087</v>
      </c>
      <c r="L25" s="491"/>
      <c r="M25" s="491"/>
      <c r="N25" s="491"/>
      <c r="P25" s="551"/>
      <c r="T25" s="8"/>
      <c r="U25" s="8"/>
    </row>
    <row r="26" spans="1:21" ht="12.75">
      <c r="A26" s="341">
        <v>21</v>
      </c>
      <c r="B26" s="1083"/>
      <c r="C26" s="401" t="s">
        <v>289</v>
      </c>
      <c r="D26" s="120" t="s">
        <v>348</v>
      </c>
      <c r="E26" s="366">
        <v>2400</v>
      </c>
      <c r="F26" s="366">
        <v>2250</v>
      </c>
      <c r="G26" s="366">
        <v>0</v>
      </c>
      <c r="H26" s="366">
        <v>2700</v>
      </c>
      <c r="I26" s="366">
        <v>0</v>
      </c>
      <c r="J26" s="366">
        <v>0</v>
      </c>
      <c r="K26" s="366">
        <v>0</v>
      </c>
      <c r="L26" s="491"/>
      <c r="M26" s="491"/>
      <c r="N26" s="491"/>
      <c r="T26" s="8"/>
      <c r="U26" s="8"/>
    </row>
    <row r="27" spans="1:21" ht="12.75">
      <c r="A27" s="341">
        <v>22</v>
      </c>
      <c r="B27" s="1084"/>
      <c r="C27" s="346" t="s">
        <v>289</v>
      </c>
      <c r="D27" s="120" t="s">
        <v>349</v>
      </c>
      <c r="E27" s="367">
        <v>1300</v>
      </c>
      <c r="F27" s="367">
        <v>1800</v>
      </c>
      <c r="G27" s="367">
        <v>0</v>
      </c>
      <c r="H27" s="367">
        <v>0</v>
      </c>
      <c r="I27" s="367">
        <v>0</v>
      </c>
      <c r="J27" s="367">
        <v>0</v>
      </c>
      <c r="K27" s="367">
        <v>0</v>
      </c>
      <c r="L27" s="491"/>
      <c r="M27" s="491"/>
      <c r="N27" s="491"/>
      <c r="T27" s="8"/>
      <c r="U27" s="8"/>
    </row>
    <row r="28" spans="1:21" ht="12.75">
      <c r="A28" s="341">
        <v>23</v>
      </c>
      <c r="B28" s="1084"/>
      <c r="C28" s="346" t="s">
        <v>289</v>
      </c>
      <c r="D28" s="120" t="s">
        <v>350</v>
      </c>
      <c r="E28" s="367">
        <v>80</v>
      </c>
      <c r="F28" s="367">
        <v>638</v>
      </c>
      <c r="G28" s="367">
        <v>0</v>
      </c>
      <c r="H28" s="367">
        <v>5968</v>
      </c>
      <c r="I28" s="367">
        <v>0</v>
      </c>
      <c r="J28" s="367">
        <v>0</v>
      </c>
      <c r="K28" s="367">
        <v>0</v>
      </c>
      <c r="L28" s="491"/>
      <c r="M28" s="491"/>
      <c r="N28" s="491"/>
      <c r="T28" s="8"/>
      <c r="U28" s="8"/>
    </row>
    <row r="29" spans="1:21" ht="12.75">
      <c r="A29" s="341">
        <v>24</v>
      </c>
      <c r="B29" s="349"/>
      <c r="C29" s="397" t="s">
        <v>289</v>
      </c>
      <c r="D29" s="776" t="s">
        <v>275</v>
      </c>
      <c r="E29" s="369">
        <v>5280</v>
      </c>
      <c r="F29" s="369">
        <v>5619</v>
      </c>
      <c r="G29" s="369">
        <v>5619</v>
      </c>
      <c r="H29" s="369">
        <v>6061</v>
      </c>
      <c r="I29" s="369">
        <f>'BP'!K72</f>
        <v>6000</v>
      </c>
      <c r="J29" s="369">
        <f>'BP'!L72</f>
        <v>6000</v>
      </c>
      <c r="K29" s="369">
        <f>'BP'!M72</f>
        <v>6000</v>
      </c>
      <c r="L29" s="491"/>
      <c r="M29" s="491"/>
      <c r="N29" s="491"/>
      <c r="T29" s="8"/>
      <c r="U29" s="8"/>
    </row>
    <row r="30" spans="1:21" ht="19.5">
      <c r="A30" s="342">
        <v>25</v>
      </c>
      <c r="B30" s="349"/>
      <c r="C30" s="397" t="s">
        <v>289</v>
      </c>
      <c r="D30" s="1014" t="s">
        <v>474</v>
      </c>
      <c r="E30" s="369">
        <v>4264.39</v>
      </c>
      <c r="F30" s="369">
        <v>2791.78</v>
      </c>
      <c r="G30" s="369">
        <v>1800</v>
      </c>
      <c r="H30" s="369">
        <v>1800</v>
      </c>
      <c r="I30" s="369">
        <f>'BP'!K106</f>
        <v>1800</v>
      </c>
      <c r="J30" s="369">
        <f>'BP'!L106</f>
        <v>1800</v>
      </c>
      <c r="K30" s="369">
        <f>'BP'!M106</f>
        <v>1800</v>
      </c>
      <c r="L30" s="491"/>
      <c r="M30" s="491"/>
      <c r="N30" s="491"/>
      <c r="T30" s="8"/>
      <c r="U30" s="8"/>
    </row>
    <row r="31" spans="1:20" ht="12.75">
      <c r="A31" s="341">
        <v>26</v>
      </c>
      <c r="B31" s="349"/>
      <c r="C31" s="397"/>
      <c r="D31" s="1015" t="s">
        <v>574</v>
      </c>
      <c r="E31" s="369">
        <v>1120.57</v>
      </c>
      <c r="F31" s="369">
        <v>830.45</v>
      </c>
      <c r="G31" s="369">
        <v>0</v>
      </c>
      <c r="H31" s="369">
        <v>12643.56</v>
      </c>
      <c r="I31" s="369">
        <v>0</v>
      </c>
      <c r="J31" s="369">
        <v>0</v>
      </c>
      <c r="K31" s="369">
        <v>0</v>
      </c>
      <c r="L31" s="491"/>
      <c r="M31" s="491"/>
      <c r="N31" s="491"/>
      <c r="T31" s="8"/>
    </row>
    <row r="32" spans="1:20" ht="20.25" thickBot="1">
      <c r="A32" s="341">
        <v>27</v>
      </c>
      <c r="B32" s="662"/>
      <c r="C32" s="663"/>
      <c r="D32" s="1016" t="s">
        <v>593</v>
      </c>
      <c r="E32" s="668">
        <v>0</v>
      </c>
      <c r="F32" s="668">
        <v>0</v>
      </c>
      <c r="G32" s="668">
        <v>0</v>
      </c>
      <c r="H32" s="668">
        <f>'BP'!J109</f>
        <v>3660</v>
      </c>
      <c r="I32" s="668">
        <f>'BP'!K109</f>
        <v>0</v>
      </c>
      <c r="J32" s="668">
        <f>'BP'!L109</f>
        <v>0</v>
      </c>
      <c r="K32" s="668">
        <f>'BP'!M109</f>
        <v>0</v>
      </c>
      <c r="L32" s="491"/>
      <c r="M32" s="491"/>
      <c r="N32" s="491"/>
      <c r="T32" s="8"/>
    </row>
    <row r="33" spans="1:20" ht="13.5" thickBot="1">
      <c r="A33" s="661">
        <v>28</v>
      </c>
      <c r="B33" s="664" t="s">
        <v>260</v>
      </c>
      <c r="C33" s="665" t="s">
        <v>153</v>
      </c>
      <c r="D33" s="665"/>
      <c r="E33" s="666">
        <f>E34+E35+E36+E37+E38</f>
        <v>48680.2</v>
      </c>
      <c r="F33" s="666">
        <f>F34+F35+F36+F37+F38</f>
        <v>49739.47</v>
      </c>
      <c r="G33" s="666">
        <f>SUM(G34:G38)</f>
        <v>60195</v>
      </c>
      <c r="H33" s="666">
        <f>SUM(H34:H38)</f>
        <v>56542.86</v>
      </c>
      <c r="I33" s="666">
        <f>SUM(I34:I38)</f>
        <v>61175.004</v>
      </c>
      <c r="J33" s="666">
        <f>SUM(J34:J38)</f>
        <v>61175.004</v>
      </c>
      <c r="K33" s="666">
        <f>SUM(K34:K38)</f>
        <v>61175.004</v>
      </c>
      <c r="L33" s="494"/>
      <c r="M33" s="494"/>
      <c r="N33" s="494"/>
      <c r="T33" s="8"/>
    </row>
    <row r="34" spans="1:20" ht="12.75">
      <c r="A34" s="341">
        <v>29</v>
      </c>
      <c r="B34" s="398"/>
      <c r="C34" s="401" t="s">
        <v>318</v>
      </c>
      <c r="D34" s="615" t="s">
        <v>488</v>
      </c>
      <c r="E34" s="366">
        <v>43850</v>
      </c>
      <c r="F34" s="366">
        <v>44300.67</v>
      </c>
      <c r="G34" s="366">
        <v>36660</v>
      </c>
      <c r="H34" s="366">
        <v>35438</v>
      </c>
      <c r="I34" s="366">
        <v>37032</v>
      </c>
      <c r="J34" s="366">
        <v>37032</v>
      </c>
      <c r="K34" s="366">
        <v>37032</v>
      </c>
      <c r="L34" s="491"/>
      <c r="M34" s="491"/>
      <c r="N34" s="491"/>
      <c r="R34" s="1010"/>
      <c r="T34" s="8"/>
    </row>
    <row r="35" spans="1:20" ht="12.75">
      <c r="A35" s="342">
        <v>30</v>
      </c>
      <c r="B35" s="399" t="s">
        <v>226</v>
      </c>
      <c r="C35" s="346" t="s">
        <v>319</v>
      </c>
      <c r="D35" s="384" t="s">
        <v>125</v>
      </c>
      <c r="E35" s="367">
        <v>0</v>
      </c>
      <c r="F35" s="367">
        <v>0</v>
      </c>
      <c r="G35" s="367">
        <v>12905</v>
      </c>
      <c r="H35" s="367">
        <v>12474.86</v>
      </c>
      <c r="I35" s="367">
        <f>(I34*0.3495)+0.32</f>
        <v>12943.003999999999</v>
      </c>
      <c r="J35" s="367">
        <f>(J34*0.3495)+0.32</f>
        <v>12943.003999999999</v>
      </c>
      <c r="K35" s="367">
        <f>(K34*0.3495)+0.32</f>
        <v>12943.003999999999</v>
      </c>
      <c r="L35" s="491"/>
      <c r="M35" s="491"/>
      <c r="N35" s="491"/>
      <c r="T35" s="8"/>
    </row>
    <row r="36" spans="1:20" ht="13.5" thickBot="1">
      <c r="A36" s="341">
        <v>31</v>
      </c>
      <c r="B36" s="400" t="s">
        <v>227</v>
      </c>
      <c r="C36" s="353" t="s">
        <v>289</v>
      </c>
      <c r="D36" s="392" t="s">
        <v>126</v>
      </c>
      <c r="E36" s="368">
        <v>0</v>
      </c>
      <c r="F36" s="368">
        <v>0</v>
      </c>
      <c r="G36" s="368">
        <v>2630</v>
      </c>
      <c r="H36" s="368">
        <v>2630</v>
      </c>
      <c r="I36" s="368">
        <v>2200</v>
      </c>
      <c r="J36" s="368">
        <v>2200</v>
      </c>
      <c r="K36" s="368">
        <v>2200</v>
      </c>
      <c r="L36" s="491"/>
      <c r="M36" s="491"/>
      <c r="N36" s="491"/>
      <c r="T36" s="8"/>
    </row>
    <row r="37" spans="1:20" ht="19.5">
      <c r="A37" s="342">
        <v>32</v>
      </c>
      <c r="B37" s="349"/>
      <c r="C37" s="397" t="s">
        <v>289</v>
      </c>
      <c r="D37" s="1014" t="s">
        <v>454</v>
      </c>
      <c r="E37" s="369">
        <v>4830.2</v>
      </c>
      <c r="F37" s="369">
        <v>5438.8</v>
      </c>
      <c r="G37" s="369">
        <v>8000</v>
      </c>
      <c r="H37" s="369">
        <v>6000</v>
      </c>
      <c r="I37" s="369">
        <f>'BP'!K110</f>
        <v>9000</v>
      </c>
      <c r="J37" s="369">
        <f>'BP'!L110</f>
        <v>9000</v>
      </c>
      <c r="K37" s="369">
        <f>'BP'!M110</f>
        <v>9000</v>
      </c>
      <c r="L37" s="491"/>
      <c r="M37" s="491"/>
      <c r="N37" s="491"/>
      <c r="T37" s="8"/>
    </row>
    <row r="38" spans="1:14" ht="13.5" thickBot="1">
      <c r="A38" s="341">
        <v>33</v>
      </c>
      <c r="B38" s="565"/>
      <c r="C38" s="566"/>
      <c r="D38" s="667" t="s">
        <v>400</v>
      </c>
      <c r="E38" s="668">
        <v>0</v>
      </c>
      <c r="F38" s="668">
        <v>0</v>
      </c>
      <c r="G38" s="668">
        <v>0</v>
      </c>
      <c r="H38" s="668">
        <v>0</v>
      </c>
      <c r="I38" s="668">
        <v>0</v>
      </c>
      <c r="J38" s="668">
        <v>0</v>
      </c>
      <c r="K38" s="668">
        <v>0</v>
      </c>
      <c r="L38" s="491"/>
      <c r="M38" s="491"/>
      <c r="N38" s="491"/>
    </row>
    <row r="39" spans="1:14" ht="13.5" thickBot="1">
      <c r="A39" s="661">
        <v>34</v>
      </c>
      <c r="B39" s="664" t="s">
        <v>261</v>
      </c>
      <c r="C39" s="665" t="s">
        <v>154</v>
      </c>
      <c r="D39" s="665"/>
      <c r="E39" s="666">
        <f>E40+E41+E42+E43+E45</f>
        <v>88384.48000000001</v>
      </c>
      <c r="F39" s="666">
        <f>SUM(F40:F48)</f>
        <v>111031.68000000001</v>
      </c>
      <c r="G39" s="666">
        <f>SUM(G40:G48)</f>
        <v>134757.9</v>
      </c>
      <c r="H39" s="666">
        <f>SUM(H40:H49)</f>
        <v>112815.30999999998</v>
      </c>
      <c r="I39" s="666">
        <f>SUM(I40:I49)</f>
        <v>130054.0025</v>
      </c>
      <c r="J39" s="666">
        <f>SUM(J40:J49)</f>
        <v>93054.0025</v>
      </c>
      <c r="K39" s="666">
        <f>SUM(K40:K49)</f>
        <v>93054.0025</v>
      </c>
      <c r="L39" s="1091"/>
      <c r="M39" s="494"/>
      <c r="N39" s="494"/>
    </row>
    <row r="40" spans="1:18" ht="12.75">
      <c r="A40" s="341">
        <v>35</v>
      </c>
      <c r="B40" s="398"/>
      <c r="C40" s="401" t="s">
        <v>318</v>
      </c>
      <c r="D40" s="615" t="s">
        <v>488</v>
      </c>
      <c r="E40" s="366">
        <v>50207</v>
      </c>
      <c r="F40" s="366">
        <v>34091.2</v>
      </c>
      <c r="G40" s="366">
        <v>35771.93</v>
      </c>
      <c r="H40" s="366">
        <v>34579.53</v>
      </c>
      <c r="I40" s="366">
        <v>45835</v>
      </c>
      <c r="J40" s="366">
        <v>45835</v>
      </c>
      <c r="K40" s="366">
        <v>45835</v>
      </c>
      <c r="L40" s="491"/>
      <c r="M40" s="491"/>
      <c r="N40" s="491"/>
      <c r="R40" s="1010"/>
    </row>
    <row r="41" spans="1:14" ht="12.75">
      <c r="A41" s="342">
        <v>36</v>
      </c>
      <c r="B41" s="399" t="s">
        <v>226</v>
      </c>
      <c r="C41" s="346" t="s">
        <v>319</v>
      </c>
      <c r="D41" s="393" t="s">
        <v>125</v>
      </c>
      <c r="E41" s="367">
        <v>0</v>
      </c>
      <c r="F41" s="367">
        <v>12000.1</v>
      </c>
      <c r="G41" s="367">
        <v>12591.72</v>
      </c>
      <c r="H41" s="367">
        <v>12171.99</v>
      </c>
      <c r="I41" s="367">
        <f>(I40*0.3495)-0.33</f>
        <v>16019.002499999999</v>
      </c>
      <c r="J41" s="367">
        <f>(J40*0.3495)-0.33</f>
        <v>16019.002499999999</v>
      </c>
      <c r="K41" s="367">
        <f>(K40*0.3495)-0.33</f>
        <v>16019.002499999999</v>
      </c>
      <c r="L41" s="491"/>
      <c r="M41" s="491"/>
      <c r="N41" s="491"/>
    </row>
    <row r="42" spans="1:16" ht="20.25" thickBot="1">
      <c r="A42" s="341">
        <v>37</v>
      </c>
      <c r="B42" s="400" t="s">
        <v>227</v>
      </c>
      <c r="C42" s="353" t="s">
        <v>289</v>
      </c>
      <c r="D42" s="385" t="s">
        <v>221</v>
      </c>
      <c r="E42" s="368">
        <v>0</v>
      </c>
      <c r="F42" s="368">
        <v>14100.69</v>
      </c>
      <c r="G42" s="368">
        <v>0</v>
      </c>
      <c r="H42" s="368">
        <v>0</v>
      </c>
      <c r="I42" s="368">
        <v>0</v>
      </c>
      <c r="J42" s="368">
        <v>0</v>
      </c>
      <c r="K42" s="368">
        <v>0</v>
      </c>
      <c r="L42" s="491"/>
      <c r="M42" s="491"/>
      <c r="N42" s="491"/>
      <c r="P42" s="784"/>
    </row>
    <row r="43" spans="1:14" ht="29.25">
      <c r="A43" s="342">
        <v>38</v>
      </c>
      <c r="B43" s="349"/>
      <c r="C43" s="1013" t="s">
        <v>479</v>
      </c>
      <c r="D43" s="1014" t="s">
        <v>530</v>
      </c>
      <c r="E43" s="369">
        <v>38177.48</v>
      </c>
      <c r="F43" s="369">
        <f>9412.42+22479.57</f>
        <v>31891.989999999998</v>
      </c>
      <c r="G43" s="369">
        <v>33048</v>
      </c>
      <c r="H43" s="369">
        <v>21048</v>
      </c>
      <c r="I43" s="369">
        <f>'BP'!K107</f>
        <v>20700</v>
      </c>
      <c r="J43" s="369">
        <f>'BP'!L107</f>
        <v>20700</v>
      </c>
      <c r="K43" s="369">
        <f>'BP'!M107</f>
        <v>20700</v>
      </c>
      <c r="L43" s="491"/>
      <c r="M43" s="491"/>
      <c r="N43" s="491"/>
    </row>
    <row r="44" spans="1:14" ht="19.5">
      <c r="A44" s="740">
        <v>39</v>
      </c>
      <c r="B44" s="565"/>
      <c r="C44" s="1013" t="s">
        <v>479</v>
      </c>
      <c r="D44" s="1014" t="s">
        <v>527</v>
      </c>
      <c r="E44" s="571">
        <v>0</v>
      </c>
      <c r="F44" s="571">
        <v>0</v>
      </c>
      <c r="G44" s="571">
        <v>300</v>
      </c>
      <c r="H44" s="571">
        <v>300</v>
      </c>
      <c r="I44" s="571">
        <f>'BP'!K105</f>
        <v>300</v>
      </c>
      <c r="J44" s="571">
        <f>'BP'!L105</f>
        <v>300</v>
      </c>
      <c r="K44" s="571">
        <f>'BP'!M105</f>
        <v>300</v>
      </c>
      <c r="L44" s="491"/>
      <c r="M44" s="491"/>
      <c r="N44" s="491"/>
    </row>
    <row r="45" spans="1:14" ht="29.25">
      <c r="A45" s="740">
        <v>40</v>
      </c>
      <c r="B45" s="662"/>
      <c r="C45" s="1013" t="s">
        <v>479</v>
      </c>
      <c r="D45" s="1019" t="s">
        <v>572</v>
      </c>
      <c r="E45" s="668">
        <v>0</v>
      </c>
      <c r="F45" s="668">
        <v>0</v>
      </c>
      <c r="G45" s="668">
        <v>16020.25</v>
      </c>
      <c r="H45" s="668">
        <v>16020.25</v>
      </c>
      <c r="I45" s="668">
        <f>'BP'!K108</f>
        <v>10200</v>
      </c>
      <c r="J45" s="668">
        <f>'BP'!L108</f>
        <v>10200</v>
      </c>
      <c r="K45" s="668">
        <f>'BP'!M108</f>
        <v>10200</v>
      </c>
      <c r="L45" s="491"/>
      <c r="M45" s="491"/>
      <c r="N45" s="491"/>
    </row>
    <row r="46" spans="1:14" ht="12.75">
      <c r="A46" s="342">
        <v>41</v>
      </c>
      <c r="B46" s="345"/>
      <c r="C46" s="744" t="s">
        <v>289</v>
      </c>
      <c r="D46" s="1017" t="s">
        <v>441</v>
      </c>
      <c r="E46" s="367">
        <v>0</v>
      </c>
      <c r="F46" s="367">
        <v>18824.4</v>
      </c>
      <c r="G46" s="367">
        <v>36039.5</v>
      </c>
      <c r="H46" s="367">
        <f>'BP'!J83</f>
        <v>28123.2</v>
      </c>
      <c r="I46" s="367">
        <f>'BP'!K83</f>
        <v>37000</v>
      </c>
      <c r="J46" s="367">
        <f>'BP'!L83</f>
        <v>0</v>
      </c>
      <c r="K46" s="367">
        <f>'BP'!M83</f>
        <v>0</v>
      </c>
      <c r="L46" s="491"/>
      <c r="M46" s="491"/>
      <c r="N46" s="491"/>
    </row>
    <row r="47" spans="1:14" ht="12.75">
      <c r="A47" s="341">
        <v>42</v>
      </c>
      <c r="B47" s="677"/>
      <c r="C47" s="744" t="s">
        <v>524</v>
      </c>
      <c r="D47" s="1017" t="s">
        <v>525</v>
      </c>
      <c r="E47" s="668">
        <v>0</v>
      </c>
      <c r="F47" s="668">
        <v>0</v>
      </c>
      <c r="G47" s="668">
        <v>986.5</v>
      </c>
      <c r="H47" s="668">
        <v>0</v>
      </c>
      <c r="I47" s="668">
        <f>'BP'!K84</f>
        <v>0</v>
      </c>
      <c r="J47" s="668">
        <v>0</v>
      </c>
      <c r="K47" s="668">
        <v>0</v>
      </c>
      <c r="L47" s="491"/>
      <c r="M47" s="491"/>
      <c r="N47" s="491"/>
    </row>
    <row r="48" spans="1:22" ht="12.75">
      <c r="A48" s="341">
        <v>43</v>
      </c>
      <c r="B48" s="962"/>
      <c r="C48" s="744" t="s">
        <v>290</v>
      </c>
      <c r="D48" s="1017" t="s">
        <v>442</v>
      </c>
      <c r="E48" s="367">
        <v>0</v>
      </c>
      <c r="F48" s="367">
        <v>123.3</v>
      </c>
      <c r="G48" s="367">
        <v>0</v>
      </c>
      <c r="H48" s="367">
        <v>0</v>
      </c>
      <c r="I48" s="367">
        <v>0</v>
      </c>
      <c r="J48" s="367">
        <v>0</v>
      </c>
      <c r="K48" s="367">
        <v>0</v>
      </c>
      <c r="L48" s="491"/>
      <c r="M48" s="491"/>
      <c r="N48" s="491"/>
      <c r="S48" s="8"/>
      <c r="T48" s="8"/>
      <c r="U48" s="8"/>
      <c r="V48" s="8"/>
    </row>
    <row r="49" spans="1:22" ht="13.5" thickBot="1">
      <c r="A49" s="342">
        <v>44</v>
      </c>
      <c r="B49" s="975"/>
      <c r="C49" s="1009"/>
      <c r="D49" s="1019" t="s">
        <v>573</v>
      </c>
      <c r="E49" s="557">
        <v>0</v>
      </c>
      <c r="F49" s="557">
        <v>0</v>
      </c>
      <c r="G49" s="557">
        <v>0</v>
      </c>
      <c r="H49" s="557">
        <v>572.34</v>
      </c>
      <c r="I49" s="557">
        <v>0</v>
      </c>
      <c r="J49" s="557">
        <v>0</v>
      </c>
      <c r="K49" s="557">
        <v>0</v>
      </c>
      <c r="L49" s="491"/>
      <c r="M49" s="491"/>
      <c r="N49" s="491"/>
      <c r="S49" s="8"/>
      <c r="T49" s="8"/>
      <c r="U49" s="8"/>
      <c r="V49" s="8"/>
    </row>
    <row r="50" spans="1:14" ht="13.5" thickBot="1">
      <c r="A50" s="661">
        <v>45</v>
      </c>
      <c r="B50" s="673">
        <v>3</v>
      </c>
      <c r="C50" s="674" t="s">
        <v>204</v>
      </c>
      <c r="D50" s="675"/>
      <c r="E50" s="676">
        <f aca="true" t="shared" si="3" ref="E50:K51">E51</f>
        <v>405</v>
      </c>
      <c r="F50" s="676">
        <f t="shared" si="3"/>
        <v>0</v>
      </c>
      <c r="G50" s="676">
        <f t="shared" si="3"/>
        <v>0</v>
      </c>
      <c r="H50" s="676">
        <f t="shared" si="3"/>
        <v>0</v>
      </c>
      <c r="I50" s="676">
        <f t="shared" si="3"/>
        <v>0</v>
      </c>
      <c r="J50" s="676">
        <f t="shared" si="3"/>
        <v>0</v>
      </c>
      <c r="K50" s="676">
        <f t="shared" si="3"/>
        <v>0</v>
      </c>
      <c r="L50" s="493"/>
      <c r="M50" s="493"/>
      <c r="N50" s="493"/>
    </row>
    <row r="51" spans="1:14" ht="12.75">
      <c r="A51" s="341">
        <v>46</v>
      </c>
      <c r="B51" s="669" t="s">
        <v>205</v>
      </c>
      <c r="C51" s="670" t="s">
        <v>206</v>
      </c>
      <c r="D51" s="671"/>
      <c r="E51" s="672">
        <f t="shared" si="3"/>
        <v>405</v>
      </c>
      <c r="F51" s="672">
        <f t="shared" si="3"/>
        <v>0</v>
      </c>
      <c r="G51" s="672">
        <f t="shared" si="3"/>
        <v>0</v>
      </c>
      <c r="H51" s="672">
        <f t="shared" si="3"/>
        <v>0</v>
      </c>
      <c r="I51" s="672">
        <f t="shared" si="3"/>
        <v>0</v>
      </c>
      <c r="J51" s="672">
        <f t="shared" si="3"/>
        <v>0</v>
      </c>
      <c r="K51" s="672">
        <f t="shared" si="3"/>
        <v>0</v>
      </c>
      <c r="L51" s="494"/>
      <c r="M51" s="494"/>
      <c r="N51" s="494"/>
    </row>
    <row r="52" spans="1:15" ht="13.5" thickBot="1">
      <c r="A52" s="351">
        <v>47</v>
      </c>
      <c r="B52" s="395"/>
      <c r="C52" s="353" t="s">
        <v>290</v>
      </c>
      <c r="D52" s="522" t="s">
        <v>372</v>
      </c>
      <c r="E52" s="368">
        <v>405</v>
      </c>
      <c r="F52" s="368">
        <v>0</v>
      </c>
      <c r="G52" s="368">
        <v>0</v>
      </c>
      <c r="H52" s="368">
        <v>0</v>
      </c>
      <c r="I52" s="368">
        <v>0</v>
      </c>
      <c r="J52" s="368">
        <v>0</v>
      </c>
      <c r="K52" s="368">
        <v>0</v>
      </c>
      <c r="L52" s="491"/>
      <c r="M52" s="491"/>
      <c r="N52" s="491"/>
      <c r="O52" s="39"/>
    </row>
    <row r="53" spans="1:14" ht="12.75">
      <c r="A53" s="71"/>
      <c r="B53" s="110"/>
      <c r="C53" s="20"/>
      <c r="D53" s="111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5" spans="1:2" ht="15" thickBot="1">
      <c r="A55" s="23"/>
      <c r="B55" s="204" t="s">
        <v>317</v>
      </c>
    </row>
    <row r="56" spans="1:14" ht="15.75" thickBot="1">
      <c r="A56" s="1255" t="s">
        <v>10</v>
      </c>
      <c r="B56" s="1256"/>
      <c r="C56" s="1256"/>
      <c r="D56" s="1257"/>
      <c r="E56" s="200" t="s">
        <v>283</v>
      </c>
      <c r="F56" s="508" t="s">
        <v>368</v>
      </c>
      <c r="G56" s="121" t="s">
        <v>369</v>
      </c>
      <c r="H56" s="121" t="s">
        <v>286</v>
      </c>
      <c r="I56" s="535" t="s">
        <v>13</v>
      </c>
      <c r="J56" s="513" t="s">
        <v>13</v>
      </c>
      <c r="K56" s="512" t="s">
        <v>13</v>
      </c>
      <c r="L56" s="1073"/>
      <c r="M56" s="1073"/>
      <c r="N56" s="1073"/>
    </row>
    <row r="57" spans="1:14" ht="12.75">
      <c r="A57" s="372"/>
      <c r="B57" s="373"/>
      <c r="C57" s="374"/>
      <c r="D57" s="1005"/>
      <c r="E57" s="193"/>
      <c r="F57" s="193"/>
      <c r="G57" s="510" t="s">
        <v>285</v>
      </c>
      <c r="H57" s="510" t="s">
        <v>287</v>
      </c>
      <c r="I57" s="536"/>
      <c r="J57" s="1079" t="s">
        <v>505</v>
      </c>
      <c r="K57" s="1079" t="s">
        <v>505</v>
      </c>
      <c r="L57" s="1074"/>
      <c r="M57" s="1074"/>
      <c r="N57" s="1074"/>
    </row>
    <row r="58" spans="1:14" ht="15.75">
      <c r="A58" s="375"/>
      <c r="B58" s="376" t="s">
        <v>310</v>
      </c>
      <c r="C58" s="377" t="s">
        <v>312</v>
      </c>
      <c r="D58" s="1006"/>
      <c r="E58" s="195">
        <v>2018</v>
      </c>
      <c r="F58" s="509" t="s">
        <v>367</v>
      </c>
      <c r="G58" s="511">
        <v>2020</v>
      </c>
      <c r="H58" s="196" t="s">
        <v>373</v>
      </c>
      <c r="I58" s="537">
        <v>2021</v>
      </c>
      <c r="J58" s="515" t="s">
        <v>432</v>
      </c>
      <c r="K58" s="514">
        <v>2023</v>
      </c>
      <c r="L58" s="1075"/>
      <c r="M58" s="1075"/>
      <c r="N58" s="1075"/>
    </row>
    <row r="59" spans="1:14" ht="13.5" thickBot="1">
      <c r="A59" s="416"/>
      <c r="B59" s="378" t="s">
        <v>316</v>
      </c>
      <c r="C59" s="379" t="s">
        <v>74</v>
      </c>
      <c r="D59" s="1007" t="s">
        <v>5</v>
      </c>
      <c r="E59" s="198" t="s">
        <v>276</v>
      </c>
      <c r="F59" s="198" t="s">
        <v>276</v>
      </c>
      <c r="G59" s="199" t="s">
        <v>276</v>
      </c>
      <c r="H59" s="199" t="s">
        <v>276</v>
      </c>
      <c r="I59" s="538" t="s">
        <v>276</v>
      </c>
      <c r="J59" s="517" t="s">
        <v>276</v>
      </c>
      <c r="K59" s="516" t="s">
        <v>276</v>
      </c>
      <c r="L59" s="1076"/>
      <c r="M59" s="1076"/>
      <c r="N59" s="1076"/>
    </row>
    <row r="60" spans="1:14" ht="14.25" thickBot="1" thickTop="1">
      <c r="A60" s="341">
        <v>1</v>
      </c>
      <c r="B60" s="134" t="s">
        <v>123</v>
      </c>
      <c r="C60" s="135"/>
      <c r="D60" s="585"/>
      <c r="E60" s="364">
        <f>E64</f>
        <v>6286.02</v>
      </c>
      <c r="F60" s="364">
        <f>F64</f>
        <v>10923</v>
      </c>
      <c r="G60" s="364">
        <f>G61+G64</f>
        <v>16200</v>
      </c>
      <c r="H60" s="364">
        <f>H61+H64</f>
        <v>0</v>
      </c>
      <c r="I60" s="364">
        <f>I61+I64</f>
        <v>16200</v>
      </c>
      <c r="J60" s="364">
        <f>J61+J64</f>
        <v>0</v>
      </c>
      <c r="K60" s="364">
        <f>K61+K64</f>
        <v>0</v>
      </c>
      <c r="L60" s="1077"/>
      <c r="M60" s="1077"/>
      <c r="N60" s="1077"/>
    </row>
    <row r="61" spans="1:14" ht="14.25" thickBot="1" thickTop="1">
      <c r="A61" s="342">
        <v>2</v>
      </c>
      <c r="B61" s="683">
        <v>1</v>
      </c>
      <c r="C61" s="684" t="s">
        <v>124</v>
      </c>
      <c r="D61" s="685"/>
      <c r="E61" s="365">
        <f aca="true" t="shared" si="4" ref="E61:K62">E62</f>
        <v>0</v>
      </c>
      <c r="F61" s="365">
        <f t="shared" si="4"/>
        <v>0</v>
      </c>
      <c r="G61" s="365">
        <f t="shared" si="4"/>
        <v>8000</v>
      </c>
      <c r="H61" s="365">
        <f t="shared" si="4"/>
        <v>0</v>
      </c>
      <c r="I61" s="365">
        <f t="shared" si="4"/>
        <v>8000</v>
      </c>
      <c r="J61" s="365">
        <f t="shared" si="4"/>
        <v>0</v>
      </c>
      <c r="K61" s="365">
        <f t="shared" si="4"/>
        <v>0</v>
      </c>
      <c r="L61" s="1077"/>
      <c r="M61" s="1077"/>
      <c r="N61" s="1077"/>
    </row>
    <row r="62" spans="1:14" ht="13.5" thickBot="1">
      <c r="A62" s="661">
        <v>3</v>
      </c>
      <c r="B62" s="664" t="s">
        <v>259</v>
      </c>
      <c r="C62" s="686" t="s">
        <v>98</v>
      </c>
      <c r="D62" s="687"/>
      <c r="E62" s="688">
        <f>E63</f>
        <v>0</v>
      </c>
      <c r="F62" s="688">
        <f>F63</f>
        <v>0</v>
      </c>
      <c r="G62" s="688">
        <f t="shared" si="4"/>
        <v>8000</v>
      </c>
      <c r="H62" s="688">
        <f t="shared" si="4"/>
        <v>0</v>
      </c>
      <c r="I62" s="688">
        <f t="shared" si="4"/>
        <v>8000</v>
      </c>
      <c r="J62" s="688">
        <f t="shared" si="4"/>
        <v>0</v>
      </c>
      <c r="K62" s="688">
        <f t="shared" si="4"/>
        <v>0</v>
      </c>
      <c r="L62" s="1077"/>
      <c r="M62" s="1077"/>
      <c r="N62" s="1077"/>
    </row>
    <row r="63" spans="1:14" ht="19.5">
      <c r="A63" s="341">
        <v>4</v>
      </c>
      <c r="B63" s="398"/>
      <c r="C63" s="1130" t="s">
        <v>295</v>
      </c>
      <c r="D63" s="1131" t="s">
        <v>632</v>
      </c>
      <c r="E63" s="366">
        <v>0</v>
      </c>
      <c r="F63" s="366">
        <v>0</v>
      </c>
      <c r="G63" s="366">
        <v>8000</v>
      </c>
      <c r="H63" s="366">
        <v>0</v>
      </c>
      <c r="I63" s="366">
        <v>8000</v>
      </c>
      <c r="J63" s="366">
        <v>0</v>
      </c>
      <c r="K63" s="366">
        <v>0</v>
      </c>
      <c r="L63" s="1140" t="s">
        <v>599</v>
      </c>
      <c r="M63" s="1077"/>
      <c r="N63" s="1077"/>
    </row>
    <row r="64" spans="1:14" ht="13.5" thickBot="1">
      <c r="A64" s="342">
        <v>5</v>
      </c>
      <c r="B64" s="347">
        <v>2</v>
      </c>
      <c r="C64" s="387" t="s">
        <v>100</v>
      </c>
      <c r="D64" s="586"/>
      <c r="E64" s="370">
        <f aca="true" t="shared" si="5" ref="E64:K64">E65</f>
        <v>6286.02</v>
      </c>
      <c r="F64" s="370">
        <f t="shared" si="5"/>
        <v>10923</v>
      </c>
      <c r="G64" s="370">
        <f t="shared" si="5"/>
        <v>8200</v>
      </c>
      <c r="H64" s="370">
        <f t="shared" si="5"/>
        <v>0</v>
      </c>
      <c r="I64" s="370">
        <f t="shared" si="5"/>
        <v>8200</v>
      </c>
      <c r="J64" s="370">
        <f t="shared" si="5"/>
        <v>0</v>
      </c>
      <c r="K64" s="370">
        <f t="shared" si="5"/>
        <v>0</v>
      </c>
      <c r="L64" s="1078"/>
      <c r="M64" s="1078"/>
      <c r="N64" s="1078"/>
    </row>
    <row r="65" spans="1:14" ht="13.5" thickBot="1">
      <c r="A65" s="341">
        <v>6</v>
      </c>
      <c r="B65" s="664" t="s">
        <v>261</v>
      </c>
      <c r="C65" s="665" t="s">
        <v>154</v>
      </c>
      <c r="D65" s="665"/>
      <c r="E65" s="419">
        <f>E66</f>
        <v>6286.02</v>
      </c>
      <c r="F65" s="419">
        <f>F66</f>
        <v>10923</v>
      </c>
      <c r="G65" s="419">
        <f>SUM(G66:G66)</f>
        <v>8200</v>
      </c>
      <c r="H65" s="419">
        <f>SUM(H66:H66)</f>
        <v>0</v>
      </c>
      <c r="I65" s="419">
        <f>SUM(I66:I66)</f>
        <v>8200</v>
      </c>
      <c r="J65" s="419">
        <f>SUM(J66:J66)</f>
        <v>0</v>
      </c>
      <c r="K65" s="419">
        <f>SUM(K66:K66)</f>
        <v>0</v>
      </c>
      <c r="L65" s="1077"/>
      <c r="M65" s="1077"/>
      <c r="N65" s="1077"/>
    </row>
    <row r="66" spans="1:14" ht="45">
      <c r="A66" s="341">
        <v>7</v>
      </c>
      <c r="B66" s="390"/>
      <c r="C66" s="689" t="s">
        <v>295</v>
      </c>
      <c r="D66" s="1008" t="s">
        <v>614</v>
      </c>
      <c r="E66" s="367">
        <v>6286.02</v>
      </c>
      <c r="F66" s="367">
        <v>10923</v>
      </c>
      <c r="G66" s="367">
        <v>8200</v>
      </c>
      <c r="H66" s="367">
        <v>0</v>
      </c>
      <c r="I66" s="367">
        <f>4000+4200</f>
        <v>8200</v>
      </c>
      <c r="J66" s="367">
        <v>0</v>
      </c>
      <c r="K66" s="367">
        <v>0</v>
      </c>
      <c r="L66" s="1140" t="s">
        <v>599</v>
      </c>
      <c r="M66" s="491"/>
      <c r="N66" s="491"/>
    </row>
    <row r="67" spans="1:24" s="552" customFormat="1" ht="12.75">
      <c r="A67" s="574"/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40"/>
      <c r="M67" s="40"/>
      <c r="N67" s="40"/>
      <c r="O67" s="574"/>
      <c r="P67" s="574"/>
      <c r="Q67" s="1193"/>
      <c r="R67" s="1193"/>
      <c r="S67" s="574"/>
      <c r="T67" s="574"/>
      <c r="U67" s="574"/>
      <c r="V67" s="574"/>
      <c r="W67" s="574"/>
      <c r="X67" s="574"/>
    </row>
    <row r="68" spans="1:24" s="552" customFormat="1" ht="12.75">
      <c r="A68" s="574"/>
      <c r="B68" s="574"/>
      <c r="C68" s="574"/>
      <c r="D68" s="1156" t="s">
        <v>521</v>
      </c>
      <c r="E68" s="1156"/>
      <c r="F68" s="574"/>
      <c r="G68" s="574"/>
      <c r="H68" s="574"/>
      <c r="I68" s="574"/>
      <c r="J68" s="574"/>
      <c r="K68" s="574"/>
      <c r="L68" s="40"/>
      <c r="M68" s="40"/>
      <c r="N68" s="40"/>
      <c r="O68" s="574"/>
      <c r="P68" s="574"/>
      <c r="Q68" s="1193"/>
      <c r="R68" s="1193"/>
      <c r="S68" s="574"/>
      <c r="T68" s="574"/>
      <c r="U68" s="574"/>
      <c r="V68" s="574"/>
      <c r="W68" s="574"/>
      <c r="X68" s="574"/>
    </row>
    <row r="69" spans="1:24" s="552" customFormat="1" ht="12.75">
      <c r="A69" s="574"/>
      <c r="B69" s="574"/>
      <c r="C69" s="574"/>
      <c r="D69" s="1156" t="s">
        <v>522</v>
      </c>
      <c r="E69" s="1156"/>
      <c r="F69" s="574"/>
      <c r="G69" s="574"/>
      <c r="H69" s="574"/>
      <c r="I69" s="574"/>
      <c r="J69" s="574"/>
      <c r="K69" s="574"/>
      <c r="L69" s="40"/>
      <c r="M69" s="40"/>
      <c r="N69" s="40"/>
      <c r="O69" s="574"/>
      <c r="P69" s="574"/>
      <c r="Q69" s="1193"/>
      <c r="R69" s="1193"/>
      <c r="S69" s="574"/>
      <c r="T69" s="574"/>
      <c r="U69" s="574"/>
      <c r="V69" s="574"/>
      <c r="W69" s="574"/>
      <c r="X69" s="574"/>
    </row>
    <row r="70" spans="1:24" s="552" customFormat="1" ht="12.75">
      <c r="A70" s="574"/>
      <c r="B70" s="574"/>
      <c r="C70" s="649"/>
      <c r="D70" s="1156" t="s">
        <v>615</v>
      </c>
      <c r="E70" s="1156"/>
      <c r="F70" s="574"/>
      <c r="G70" s="574"/>
      <c r="H70" s="574"/>
      <c r="I70" s="574"/>
      <c r="J70" s="574"/>
      <c r="K70" s="574"/>
      <c r="L70" s="40"/>
      <c r="M70" s="40"/>
      <c r="N70" s="40"/>
      <c r="O70" s="574"/>
      <c r="P70" s="574"/>
      <c r="Q70" s="1193"/>
      <c r="R70" s="1193"/>
      <c r="S70" s="574"/>
      <c r="T70" s="574"/>
      <c r="U70" s="574"/>
      <c r="V70" s="574"/>
      <c r="W70" s="574"/>
      <c r="X70" s="574"/>
    </row>
    <row r="71" spans="1:24" s="552" customFormat="1" ht="12.75">
      <c r="A71" s="574"/>
      <c r="B71" s="574"/>
      <c r="C71" s="574"/>
      <c r="D71" s="1156" t="s">
        <v>616</v>
      </c>
      <c r="E71" s="1156"/>
      <c r="F71" s="574"/>
      <c r="G71" s="574"/>
      <c r="H71" s="574"/>
      <c r="I71" s="574"/>
      <c r="J71" s="574"/>
      <c r="K71" s="574"/>
      <c r="L71" s="40"/>
      <c r="M71" s="40"/>
      <c r="N71" s="40"/>
      <c r="O71" s="574"/>
      <c r="P71" s="574"/>
      <c r="Q71" s="1193"/>
      <c r="R71" s="1193"/>
      <c r="S71" s="574"/>
      <c r="T71" s="574"/>
      <c r="U71" s="574"/>
      <c r="V71" s="574"/>
      <c r="W71" s="574"/>
      <c r="X71" s="574"/>
    </row>
    <row r="72" spans="1:24" s="552" customFormat="1" ht="12.75">
      <c r="A72" s="574"/>
      <c r="B72" s="574"/>
      <c r="C72" s="650"/>
      <c r="D72" s="574"/>
      <c r="E72" s="574"/>
      <c r="F72" s="574"/>
      <c r="G72" s="574"/>
      <c r="H72" s="574"/>
      <c r="I72" s="574"/>
      <c r="J72" s="574"/>
      <c r="K72" s="574"/>
      <c r="L72" s="40"/>
      <c r="M72" s="40"/>
      <c r="N72" s="40"/>
      <c r="O72" s="574"/>
      <c r="P72" s="574"/>
      <c r="Q72" s="1193"/>
      <c r="R72" s="1193"/>
      <c r="S72" s="574"/>
      <c r="T72" s="574"/>
      <c r="U72" s="574"/>
      <c r="V72" s="574"/>
      <c r="W72" s="574"/>
      <c r="X72" s="574"/>
    </row>
    <row r="73" spans="1:24" s="552" customFormat="1" ht="12.75">
      <c r="A73" s="574"/>
      <c r="B73" s="574"/>
      <c r="C73" s="650"/>
      <c r="D73" s="574"/>
      <c r="E73" s="574"/>
      <c r="F73" s="574"/>
      <c r="G73" s="574"/>
      <c r="H73" s="574"/>
      <c r="I73" s="574"/>
      <c r="J73" s="574"/>
      <c r="K73" s="574"/>
      <c r="L73" s="40"/>
      <c r="M73" s="40"/>
      <c r="N73" s="40"/>
      <c r="O73" s="574"/>
      <c r="P73" s="574"/>
      <c r="Q73" s="1193"/>
      <c r="R73" s="1193"/>
      <c r="S73" s="574"/>
      <c r="T73" s="574"/>
      <c r="U73" s="574"/>
      <c r="V73" s="574"/>
      <c r="W73" s="574"/>
      <c r="X73" s="574"/>
    </row>
    <row r="74" spans="1:24" s="552" customFormat="1" ht="12.75">
      <c r="A74" s="574"/>
      <c r="B74" s="574"/>
      <c r="C74" s="650"/>
      <c r="D74" s="574"/>
      <c r="E74" s="574"/>
      <c r="F74" s="574"/>
      <c r="G74" s="574"/>
      <c r="H74" s="574"/>
      <c r="I74" s="574"/>
      <c r="J74" s="574"/>
      <c r="K74" s="574"/>
      <c r="L74" s="40"/>
      <c r="M74" s="40"/>
      <c r="N74" s="40"/>
      <c r="O74" s="574"/>
      <c r="P74" s="574"/>
      <c r="Q74" s="1193"/>
      <c r="R74" s="1193"/>
      <c r="S74" s="574"/>
      <c r="T74" s="574"/>
      <c r="U74" s="574"/>
      <c r="V74" s="574"/>
      <c r="W74" s="574"/>
      <c r="X74" s="574"/>
    </row>
    <row r="75" spans="1:24" s="552" customFormat="1" ht="12.75">
      <c r="A75" s="574"/>
      <c r="B75" s="574"/>
      <c r="C75" s="650"/>
      <c r="D75" s="574"/>
      <c r="E75" s="574"/>
      <c r="F75" s="574"/>
      <c r="G75" s="574"/>
      <c r="H75" s="649"/>
      <c r="I75" s="649"/>
      <c r="J75" s="574"/>
      <c r="K75" s="574"/>
      <c r="L75" s="40"/>
      <c r="M75" s="40"/>
      <c r="N75" s="40"/>
      <c r="O75" s="574"/>
      <c r="P75" s="574"/>
      <c r="Q75" s="1193"/>
      <c r="R75" s="1193"/>
      <c r="S75" s="574"/>
      <c r="T75" s="574"/>
      <c r="U75" s="574"/>
      <c r="V75" s="574"/>
      <c r="W75" s="574"/>
      <c r="X75" s="574"/>
    </row>
    <row r="76" spans="1:24" s="552" customFormat="1" ht="12.75">
      <c r="A76" s="574"/>
      <c r="B76" s="574"/>
      <c r="C76" s="649"/>
      <c r="D76" s="574"/>
      <c r="E76" s="574"/>
      <c r="F76" s="574"/>
      <c r="G76" s="574"/>
      <c r="H76" s="651"/>
      <c r="I76" s="651"/>
      <c r="J76" s="574"/>
      <c r="K76" s="574"/>
      <c r="L76" s="40"/>
      <c r="M76" s="40"/>
      <c r="N76" s="40"/>
      <c r="O76" s="574"/>
      <c r="P76" s="574"/>
      <c r="Q76" s="1193"/>
      <c r="R76" s="1193"/>
      <c r="S76" s="574"/>
      <c r="T76" s="574"/>
      <c r="U76" s="574"/>
      <c r="V76" s="574"/>
      <c r="W76" s="574"/>
      <c r="X76" s="574"/>
    </row>
    <row r="77" spans="1:24" s="552" customFormat="1" ht="12.75">
      <c r="A77" s="574"/>
      <c r="B77" s="574"/>
      <c r="C77" s="574"/>
      <c r="D77" s="574"/>
      <c r="E77" s="574"/>
      <c r="F77" s="574"/>
      <c r="G77" s="574"/>
      <c r="H77" s="651"/>
      <c r="I77" s="651"/>
      <c r="J77" s="574"/>
      <c r="K77" s="574"/>
      <c r="L77" s="40"/>
      <c r="M77" s="40"/>
      <c r="N77" s="40"/>
      <c r="O77" s="574"/>
      <c r="P77" s="574"/>
      <c r="Q77" s="1193"/>
      <c r="R77" s="1193"/>
      <c r="S77" s="574"/>
      <c r="T77" s="574"/>
      <c r="U77" s="574"/>
      <c r="V77" s="574"/>
      <c r="W77" s="574"/>
      <c r="X77" s="574"/>
    </row>
    <row r="78" spans="1:24" s="552" customFormat="1" ht="12.75">
      <c r="A78" s="574"/>
      <c r="B78" s="574"/>
      <c r="C78" s="574"/>
      <c r="D78" s="574"/>
      <c r="E78" s="574"/>
      <c r="F78" s="574"/>
      <c r="G78" s="574"/>
      <c r="H78" s="651"/>
      <c r="I78" s="651"/>
      <c r="J78" s="574"/>
      <c r="K78" s="574"/>
      <c r="L78" s="40"/>
      <c r="M78" s="40"/>
      <c r="N78" s="40"/>
      <c r="O78" s="574"/>
      <c r="P78" s="574"/>
      <c r="Q78" s="1193"/>
      <c r="R78" s="1193"/>
      <c r="S78" s="574"/>
      <c r="T78" s="574"/>
      <c r="U78" s="574"/>
      <c r="V78" s="574"/>
      <c r="W78" s="574"/>
      <c r="X78" s="574"/>
    </row>
    <row r="79" spans="1:24" s="552" customFormat="1" ht="12.75">
      <c r="A79" s="574"/>
      <c r="B79" s="574"/>
      <c r="C79" s="650"/>
      <c r="D79" s="574"/>
      <c r="E79" s="574"/>
      <c r="F79" s="574"/>
      <c r="G79" s="574"/>
      <c r="H79" s="651"/>
      <c r="I79" s="651"/>
      <c r="J79" s="574"/>
      <c r="K79" s="574"/>
      <c r="L79" s="40"/>
      <c r="M79" s="40"/>
      <c r="N79" s="40"/>
      <c r="O79" s="574"/>
      <c r="P79" s="574"/>
      <c r="Q79" s="1193"/>
      <c r="R79" s="1193"/>
      <c r="S79" s="574"/>
      <c r="T79" s="574"/>
      <c r="U79" s="574"/>
      <c r="V79" s="574"/>
      <c r="W79" s="574"/>
      <c r="X79" s="574"/>
    </row>
    <row r="80" spans="1:24" s="552" customFormat="1" ht="12.75">
      <c r="A80" s="574"/>
      <c r="B80" s="574"/>
      <c r="C80" s="649"/>
      <c r="D80" s="574"/>
      <c r="E80" s="574"/>
      <c r="F80" s="574"/>
      <c r="G80" s="574"/>
      <c r="H80" s="651"/>
      <c r="I80" s="651"/>
      <c r="J80" s="574"/>
      <c r="K80" s="574"/>
      <c r="L80" s="40"/>
      <c r="M80" s="40"/>
      <c r="N80" s="40"/>
      <c r="O80" s="574"/>
      <c r="P80" s="574"/>
      <c r="Q80" s="1193"/>
      <c r="R80" s="1193"/>
      <c r="S80" s="574"/>
      <c r="T80" s="574"/>
      <c r="U80" s="574"/>
      <c r="V80" s="574"/>
      <c r="W80" s="574"/>
      <c r="X80" s="574"/>
    </row>
    <row r="81" spans="1:24" s="552" customFormat="1" ht="12.75">
      <c r="A81" s="574"/>
      <c r="B81" s="574"/>
      <c r="C81" s="574"/>
      <c r="D81" s="574"/>
      <c r="E81" s="574"/>
      <c r="F81" s="574"/>
      <c r="G81" s="574"/>
      <c r="H81" s="651"/>
      <c r="I81" s="651"/>
      <c r="J81" s="574"/>
      <c r="K81" s="574"/>
      <c r="L81" s="40"/>
      <c r="M81" s="40"/>
      <c r="N81" s="40"/>
      <c r="O81" s="574"/>
      <c r="P81" s="574"/>
      <c r="Q81" s="1193"/>
      <c r="R81" s="1193"/>
      <c r="S81" s="574"/>
      <c r="T81" s="574"/>
      <c r="U81" s="574"/>
      <c r="V81" s="574"/>
      <c r="W81" s="574"/>
      <c r="X81" s="574"/>
    </row>
    <row r="82" spans="1:24" s="170" customFormat="1" ht="11.25">
      <c r="A82" s="40"/>
      <c r="B82" s="71"/>
      <c r="C82" s="40"/>
      <c r="D82" s="13"/>
      <c r="E82" s="40"/>
      <c r="F82" s="40"/>
      <c r="G82" s="40"/>
      <c r="H82" s="652"/>
      <c r="I82" s="652"/>
      <c r="J82" s="40"/>
      <c r="K82" s="40"/>
      <c r="L82" s="40"/>
      <c r="M82" s="40"/>
      <c r="N82" s="40"/>
      <c r="O82" s="40"/>
      <c r="P82" s="40"/>
      <c r="Q82" s="1194"/>
      <c r="R82" s="1194"/>
      <c r="S82" s="40"/>
      <c r="T82" s="40"/>
      <c r="U82" s="40"/>
      <c r="V82" s="40"/>
      <c r="W82" s="40"/>
      <c r="X82" s="40"/>
    </row>
    <row r="83" spans="1:24" s="170" customFormat="1" ht="11.25">
      <c r="A83" s="12"/>
      <c r="B83" s="573"/>
      <c r="C83" s="73"/>
      <c r="D83" s="40"/>
      <c r="E83" s="40"/>
      <c r="F83" s="40"/>
      <c r="G83" s="40"/>
      <c r="H83" s="652"/>
      <c r="I83" s="652"/>
      <c r="J83" s="40"/>
      <c r="K83" s="40"/>
      <c r="L83" s="40"/>
      <c r="M83" s="40"/>
      <c r="N83" s="40"/>
      <c r="O83" s="40"/>
      <c r="P83" s="40"/>
      <c r="Q83" s="1194"/>
      <c r="R83" s="1194"/>
      <c r="S83" s="40"/>
      <c r="T83" s="40"/>
      <c r="U83" s="40"/>
      <c r="V83" s="40"/>
      <c r="W83" s="40"/>
      <c r="X83" s="40"/>
    </row>
    <row r="84" spans="1:24" s="170" customFormat="1" ht="11.25">
      <c r="A84" s="12"/>
      <c r="B84" s="21"/>
      <c r="C84" s="632"/>
      <c r="D84" s="40"/>
      <c r="E84" s="40"/>
      <c r="F84" s="40"/>
      <c r="G84" s="40"/>
      <c r="H84" s="652"/>
      <c r="I84" s="652"/>
      <c r="J84" s="40"/>
      <c r="K84" s="40"/>
      <c r="L84" s="40"/>
      <c r="M84" s="40"/>
      <c r="N84" s="40"/>
      <c r="O84" s="40"/>
      <c r="P84" s="40"/>
      <c r="Q84" s="1194"/>
      <c r="R84" s="1194"/>
      <c r="S84" s="40"/>
      <c r="T84" s="40"/>
      <c r="U84" s="40"/>
      <c r="V84" s="40"/>
      <c r="W84" s="40"/>
      <c r="X84" s="40"/>
    </row>
    <row r="85" spans="1:24" s="170" customFormat="1" ht="11.25">
      <c r="A85" s="12"/>
      <c r="B85" s="2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1194"/>
      <c r="R85" s="1194"/>
      <c r="S85" s="40"/>
      <c r="T85" s="40"/>
      <c r="U85" s="40"/>
      <c r="V85" s="40"/>
      <c r="W85" s="40"/>
      <c r="X85" s="40"/>
    </row>
    <row r="86" spans="1:18" s="170" customFormat="1" ht="11.25">
      <c r="A86" s="176"/>
      <c r="B86" s="177"/>
      <c r="Q86" s="1194"/>
      <c r="R86" s="1194"/>
    </row>
    <row r="87" spans="1:18" s="170" customFormat="1" ht="11.25">
      <c r="A87" s="176"/>
      <c r="B87" s="177"/>
      <c r="Q87" s="1194"/>
      <c r="R87" s="1194"/>
    </row>
    <row r="88" spans="17:18" s="170" customFormat="1" ht="11.25">
      <c r="Q88" s="1194"/>
      <c r="R88" s="1194"/>
    </row>
    <row r="89" spans="3:18" s="170" customFormat="1" ht="11.25">
      <c r="C89" s="423"/>
      <c r="Q89" s="1194"/>
      <c r="R89" s="1194"/>
    </row>
    <row r="90" spans="17:18" s="170" customFormat="1" ht="11.25">
      <c r="Q90" s="1194"/>
      <c r="R90" s="1194"/>
    </row>
    <row r="91" spans="3:18" s="40" customFormat="1" ht="11.25">
      <c r="C91" s="72"/>
      <c r="Q91" s="1194"/>
      <c r="R91" s="1194"/>
    </row>
    <row r="92" spans="3:18" s="40" customFormat="1" ht="11.25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Q92" s="1194"/>
      <c r="R92" s="1194"/>
    </row>
    <row r="93" spans="3:18" s="40" customFormat="1" ht="11.25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Q93" s="1194"/>
      <c r="R93" s="1194"/>
    </row>
    <row r="94" spans="3:18" s="40" customFormat="1" ht="11.25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Q94" s="1194"/>
      <c r="R94" s="1194"/>
    </row>
    <row r="95" spans="3:18" s="40" customFormat="1" ht="11.25">
      <c r="C95" s="72"/>
      <c r="Q95" s="1194"/>
      <c r="R95" s="1194"/>
    </row>
    <row r="96" spans="3:18" s="40" customFormat="1" ht="11.25">
      <c r="C96" s="42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Q96" s="1194"/>
      <c r="R96" s="1194"/>
    </row>
    <row r="97" spans="3:18" s="40" customFormat="1" ht="11.25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Q97" s="1194"/>
      <c r="R97" s="1194"/>
    </row>
    <row r="98" spans="3:18" s="425" customFormat="1" ht="12.75">
      <c r="C98" s="420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Q98" s="1194"/>
      <c r="R98" s="1194"/>
    </row>
    <row r="99" spans="3:18" s="40" customFormat="1" ht="11.25">
      <c r="C99" s="426"/>
      <c r="Q99" s="1194"/>
      <c r="R99" s="1194"/>
    </row>
    <row r="100" spans="3:18" s="40" customFormat="1" ht="11.25">
      <c r="C100" s="72"/>
      <c r="Q100" s="1194"/>
      <c r="R100" s="1194"/>
    </row>
    <row r="101" spans="4:18" s="40" customFormat="1" ht="11.25">
      <c r="D101" s="13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Q101" s="1194"/>
      <c r="R101" s="1194"/>
    </row>
    <row r="102" spans="4:18" s="40" customFormat="1" ht="11.25">
      <c r="D102" s="13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Q102" s="1194"/>
      <c r="R102" s="1194"/>
    </row>
    <row r="103" spans="4:18" s="40" customFormat="1" ht="11.25">
      <c r="D103" s="13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Q103" s="1194"/>
      <c r="R103" s="1194"/>
    </row>
    <row r="104" spans="4:18" s="40" customFormat="1" ht="5.25" customHeight="1">
      <c r="D104" s="13"/>
      <c r="Q104" s="1194"/>
      <c r="R104" s="1194"/>
    </row>
    <row r="105" spans="4:18" s="40" customFormat="1" ht="15" customHeight="1">
      <c r="D105" s="7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Q105" s="1194"/>
      <c r="R105" s="1194"/>
    </row>
    <row r="106" spans="4:18" s="40" customFormat="1" ht="11.25">
      <c r="D106" s="72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Q106" s="1194"/>
      <c r="R106" s="1194"/>
    </row>
    <row r="107" spans="5:18" s="40" customFormat="1" ht="11.25"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Q107" s="1194"/>
      <c r="R107" s="1194"/>
    </row>
    <row r="108" spans="17:18" s="40" customFormat="1" ht="4.5" customHeight="1">
      <c r="Q108" s="1194"/>
      <c r="R108" s="1194"/>
    </row>
    <row r="109" spans="5:18" s="40" customFormat="1" ht="11.25"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Q109" s="1194"/>
      <c r="R109" s="1194"/>
    </row>
    <row r="110" spans="5:18" s="40" customFormat="1" ht="11.25"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Q110" s="1194"/>
      <c r="R110" s="1194"/>
    </row>
    <row r="111" spans="4:18" s="40" customFormat="1" ht="11.25">
      <c r="D111" s="72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Q111" s="1194"/>
      <c r="R111" s="1194"/>
    </row>
    <row r="112" spans="17:18" s="425" customFormat="1" ht="12.75">
      <c r="Q112" s="1194"/>
      <c r="R112" s="1194"/>
    </row>
    <row r="113" spans="17:18" s="425" customFormat="1" ht="12.75">
      <c r="Q113" s="1194"/>
      <c r="R113" s="1194"/>
    </row>
  </sheetData>
  <sheetProtection/>
  <mergeCells count="2">
    <mergeCell ref="A2:D2"/>
    <mergeCell ref="A56:D56"/>
  </mergeCells>
  <printOptions/>
  <pageMargins left="0.3937007874015748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Kovárová</dc:creator>
  <cp:keywords/>
  <dc:description/>
  <cp:lastModifiedBy>Kovarova</cp:lastModifiedBy>
  <cp:lastPrinted>2020-12-15T08:55:17Z</cp:lastPrinted>
  <dcterms:created xsi:type="dcterms:W3CDTF">2012-10-11T06:39:36Z</dcterms:created>
  <dcterms:modified xsi:type="dcterms:W3CDTF">2020-12-15T08:55:55Z</dcterms:modified>
  <cp:category/>
  <cp:version/>
  <cp:contentType/>
  <cp:contentStatus/>
</cp:coreProperties>
</file>